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D862" lockWindows="1"/>
  <bookViews>
    <workbookView xWindow="360" yWindow="60" windowWidth="11595" windowHeight="9120" firstSheet="4" activeTab="4"/>
  </bookViews>
  <sheets>
    <sheet name="X CAJA" sheetId="1" r:id="rId1"/>
    <sheet name="ESTUDIO" sheetId="2" state="hidden" r:id="rId2"/>
    <sheet name="factor" sheetId="3" state="hidden" r:id="rId3"/>
    <sheet name="anticipos" sheetId="4" state="hidden" r:id="rId4"/>
    <sheet name="SIMULADOR" sheetId="5" r:id="rId5"/>
  </sheets>
  <definedNames>
    <definedName name="_xlnm.Print_Area" localSheetId="3">anticipos!$A$1:$B$41</definedName>
    <definedName name="_xlnm.Print_Area" localSheetId="1">ESTUDIO!$A$63:$C$68</definedName>
    <definedName name="_xlnm.Print_Area" localSheetId="4">SIMULADOR!$A$1:$F$31</definedName>
    <definedName name="_xlnm.Print_Area" localSheetId="0">'X CAJA'!$A$1:$H$45</definedName>
    <definedName name="OLE_LINK1" localSheetId="1">ESTUDIO!$A$50</definedName>
    <definedName name="Z_0CE4C416_8F7B_420A_B0AA_542E139A7665_.wvu.PrintArea" localSheetId="3" hidden="1">anticipos!$A$1:$B$41</definedName>
    <definedName name="Z_0CE4C416_8F7B_420A_B0AA_542E139A7665_.wvu.PrintArea" localSheetId="1" hidden="1">ESTUDIO!$A$63:$C$68</definedName>
    <definedName name="Z_0CE4C416_8F7B_420A_B0AA_542E139A7665_.wvu.PrintArea" localSheetId="4" hidden="1">SIMULADOR!$B$2:$D$7</definedName>
    <definedName name="Z_0CE4C416_8F7B_420A_B0AA_542E139A7665_.wvu.PrintArea" localSheetId="0" hidden="1">'X CAJA'!$A$1:$H$45</definedName>
    <definedName name="Z_131D95B3_501A_4570_9E79_0833DE95D6EE_.wvu.PrintArea" localSheetId="3" hidden="1">anticipos!$A$1:$B$41</definedName>
    <definedName name="Z_131D95B3_501A_4570_9E79_0833DE95D6EE_.wvu.PrintArea" localSheetId="1" hidden="1">ESTUDIO!$A$63:$C$68</definedName>
    <definedName name="Z_131D95B3_501A_4570_9E79_0833DE95D6EE_.wvu.PrintArea" localSheetId="4" hidden="1">SIMULADOR!$B$2:$D$7</definedName>
    <definedName name="Z_131D95B3_501A_4570_9E79_0833DE95D6EE_.wvu.PrintArea" localSheetId="0" hidden="1">'X CAJA'!$A$1:$H$45</definedName>
    <definedName name="Z_9C57F4D4_CD23_40CB_B591_5182657A2772_.wvu.PrintArea" localSheetId="3" hidden="1">anticipos!$A$1:$B$41</definedName>
    <definedName name="Z_9C57F4D4_CD23_40CB_B591_5182657A2772_.wvu.PrintArea" localSheetId="1" hidden="1">ESTUDIO!$A$63:$C$68</definedName>
    <definedName name="Z_9C57F4D4_CD23_40CB_B591_5182657A2772_.wvu.PrintArea" localSheetId="4" hidden="1">SIMULADOR!$B$2:$D$7</definedName>
    <definedName name="Z_9C57F4D4_CD23_40CB_B591_5182657A2772_.wvu.PrintArea" localSheetId="0" hidden="1">'X CAJA'!$A$1:$H$45</definedName>
  </definedNames>
  <calcPr calcId="145621"/>
  <customWorkbookViews>
    <customWorkbookView name="Fondeuc tesoreria - Vista personalizada" guid="{131D95B3-501A-4570-9E79-0833DE95D6EE}" mergeInterval="0" personalView="1" maximized="1" xWindow="34" yWindow="36" windowWidth="753" windowHeight="566" activeSheetId="5"/>
    <customWorkbookView name="cooinem - Vista personalizada" guid="{0CE4C416-8F7B-420A-B0AA-542E139A7665}" mergeInterval="0" personalView="1" maximized="1" xWindow="32" yWindow="34" windowWidth="757" windowHeight="570" activeSheetId="5"/>
    <customWorkbookView name="USUARIO - Vista personalizada" guid="{9C57F4D4-CD23-40CB-B591-5182657A2772}" mergeInterval="0" personalView="1" maximized="1" windowWidth="1436" windowHeight="675" activeSheetId="5"/>
  </customWorkbookViews>
</workbook>
</file>

<file path=xl/calcChain.xml><?xml version="1.0" encoding="utf-8"?>
<calcChain xmlns="http://schemas.openxmlformats.org/spreadsheetml/2006/main">
  <c r="F25" i="5" l="1"/>
  <c r="D23" i="5" l="1"/>
  <c r="D27" i="5" s="1"/>
  <c r="B2" i="3" l="1"/>
  <c r="B3" i="3" s="1"/>
  <c r="C3" i="3" s="1"/>
  <c r="D3" i="3" s="1"/>
  <c r="E3" i="3" s="1"/>
  <c r="C33" i="2"/>
  <c r="G5" i="3" s="1"/>
  <c r="H5" i="3" s="1"/>
  <c r="J5" i="3" s="1"/>
  <c r="K5" i="3" s="1"/>
  <c r="C15" i="2"/>
  <c r="A68" i="2"/>
  <c r="D36" i="1"/>
  <c r="B15" i="1"/>
  <c r="B43" i="1"/>
  <c r="B14" i="1"/>
  <c r="A42" i="1" s="1"/>
  <c r="H15" i="2"/>
  <c r="H14" i="2" s="1"/>
  <c r="D45" i="2"/>
  <c r="G17" i="1" s="1"/>
  <c r="F23" i="1" s="1"/>
  <c r="D46" i="2"/>
  <c r="F18" i="1" s="1"/>
  <c r="F24" i="1" s="1"/>
  <c r="C24" i="2"/>
  <c r="C26" i="2" s="1"/>
  <c r="C32" i="2" s="1"/>
  <c r="A36" i="4"/>
  <c r="A6" i="3"/>
  <c r="J2" i="3"/>
  <c r="N6" i="3"/>
  <c r="G3" i="3" l="1"/>
  <c r="H3" i="3" s="1"/>
  <c r="J3" i="3" s="1"/>
  <c r="K3" i="3" s="1"/>
  <c r="G4" i="3"/>
  <c r="H4" i="3" s="1"/>
  <c r="J4" i="3" s="1"/>
  <c r="K4" i="3" s="1"/>
  <c r="G6" i="3"/>
  <c r="H6" i="3" s="1"/>
  <c r="J6" i="3" s="1"/>
  <c r="K6" i="3" s="1"/>
  <c r="B6" i="3"/>
  <c r="C6" i="3" s="1"/>
  <c r="D6" i="3" s="1"/>
  <c r="E6" i="3" s="1"/>
  <c r="A7" i="3"/>
  <c r="D16" i="2"/>
  <c r="D18" i="2"/>
  <c r="D17" i="2" s="1"/>
  <c r="D19" i="2" s="1"/>
  <c r="B7" i="3"/>
  <c r="C7" i="3" s="1"/>
  <c r="D7" i="3" s="1"/>
  <c r="E7" i="3" s="1"/>
  <c r="B5" i="3"/>
  <c r="C5" i="3" s="1"/>
  <c r="D5" i="3" s="1"/>
  <c r="E5" i="3" s="1"/>
  <c r="B4" i="3"/>
  <c r="C4" i="3" s="1"/>
  <c r="D4" i="3" s="1"/>
  <c r="E4" i="3" s="1"/>
  <c r="I2" i="3"/>
  <c r="M6" i="3"/>
  <c r="K2" i="3"/>
  <c r="F6" i="3" l="1"/>
  <c r="F4" i="3"/>
  <c r="F3" i="3"/>
  <c r="F7" i="3"/>
  <c r="F5" i="3"/>
  <c r="D35" i="2"/>
  <c r="A8" i="3"/>
  <c r="G7" i="3"/>
  <c r="H7" i="3" s="1"/>
  <c r="J7" i="3" s="1"/>
  <c r="K7" i="3" s="1"/>
  <c r="A9" i="3" l="1"/>
  <c r="G8" i="3"/>
  <c r="H8" i="3" s="1"/>
  <c r="J8" i="3" s="1"/>
  <c r="K8" i="3" s="1"/>
  <c r="B8" i="3"/>
  <c r="C8" i="3" s="1"/>
  <c r="F8" i="3" s="1"/>
  <c r="D8" i="3" l="1"/>
  <c r="E8" i="3" s="1"/>
  <c r="A10" i="3"/>
  <c r="B9" i="3"/>
  <c r="C9" i="3" s="1"/>
  <c r="F9" i="3" s="1"/>
  <c r="G9" i="3"/>
  <c r="H9" i="3" s="1"/>
  <c r="J9" i="3" s="1"/>
  <c r="K9" i="3" s="1"/>
  <c r="D42" i="2"/>
  <c r="D9" i="3" l="1"/>
  <c r="E9" i="3" s="1"/>
  <c r="B10" i="3"/>
  <c r="C10" i="3" s="1"/>
  <c r="F10" i="3" s="1"/>
  <c r="G10" i="3"/>
  <c r="H10" i="3" s="1"/>
  <c r="J10" i="3" s="1"/>
  <c r="K10" i="3" s="1"/>
  <c r="A11" i="3"/>
  <c r="D10" i="3" l="1"/>
  <c r="E10" i="3" s="1"/>
  <c r="A12" i="3"/>
  <c r="B11" i="3"/>
  <c r="C11" i="3" s="1"/>
  <c r="F11" i="3" s="1"/>
  <c r="G11" i="3"/>
  <c r="H11" i="3" s="1"/>
  <c r="J11" i="3" s="1"/>
  <c r="K11" i="3" s="1"/>
  <c r="D11" i="3" l="1"/>
  <c r="E11" i="3" s="1"/>
  <c r="B12" i="3"/>
  <c r="C12" i="3" s="1"/>
  <c r="F12" i="3" s="1"/>
  <c r="G12" i="3" s="1"/>
  <c r="H12" i="3" s="1"/>
  <c r="A13" i="3"/>
  <c r="J12" i="3"/>
  <c r="K12" i="3" l="1"/>
  <c r="D12" i="3"/>
  <c r="E12" i="3" s="1"/>
  <c r="A14" i="3"/>
  <c r="G13" i="3"/>
  <c r="H13" i="3" s="1"/>
  <c r="J13" i="3" s="1"/>
  <c r="B13" i="3"/>
  <c r="C13" i="3" s="1"/>
  <c r="F13" i="3" s="1"/>
  <c r="K13" i="3" l="1"/>
  <c r="A15" i="3"/>
  <c r="B14" i="3"/>
  <c r="C14" i="3" s="1"/>
  <c r="F14" i="3" s="1"/>
  <c r="G14" i="3"/>
  <c r="H14" i="3" s="1"/>
  <c r="J14" i="3" s="1"/>
  <c r="K14" i="3" s="1"/>
  <c r="D13" i="3"/>
  <c r="E13" i="3" s="1"/>
  <c r="D14" i="3" l="1"/>
  <c r="E14" i="3" s="1"/>
  <c r="A16" i="3"/>
  <c r="B15" i="3"/>
  <c r="C15" i="3" s="1"/>
  <c r="F15" i="3" s="1"/>
  <c r="G15" i="3"/>
  <c r="H15" i="3" s="1"/>
  <c r="J15" i="3" s="1"/>
  <c r="K15" i="3" s="1"/>
  <c r="D15" i="3" l="1"/>
  <c r="E15" i="3" s="1"/>
  <c r="G16" i="3"/>
  <c r="H16" i="3" s="1"/>
  <c r="J16" i="3" s="1"/>
  <c r="K16" i="3" s="1"/>
  <c r="A17" i="3"/>
  <c r="B16" i="3"/>
  <c r="C16" i="3" s="1"/>
  <c r="F16" i="3" s="1"/>
  <c r="B17" i="3" l="1"/>
  <c r="C17" i="3" s="1"/>
  <c r="F17" i="3" s="1"/>
  <c r="G17" i="3"/>
  <c r="H17" i="3" s="1"/>
  <c r="J17" i="3" s="1"/>
  <c r="K17" i="3" s="1"/>
  <c r="A18" i="3"/>
  <c r="D16" i="3"/>
  <c r="E16" i="3" s="1"/>
  <c r="G18" i="3" l="1"/>
  <c r="H18" i="3" s="1"/>
  <c r="J18" i="3" s="1"/>
  <c r="K18" i="3" s="1"/>
  <c r="B18" i="3"/>
  <c r="C18" i="3" s="1"/>
  <c r="F18" i="3" s="1"/>
  <c r="A19" i="3"/>
  <c r="D17" i="3"/>
  <c r="E17" i="3" s="1"/>
  <c r="G19" i="3" l="1"/>
  <c r="H19" i="3" s="1"/>
  <c r="J19" i="3" s="1"/>
  <c r="K19" i="3" s="1"/>
  <c r="B19" i="3"/>
  <c r="C19" i="3" s="1"/>
  <c r="F19" i="3" s="1"/>
  <c r="A20" i="3"/>
  <c r="D18" i="3"/>
  <c r="E18" i="3" s="1"/>
  <c r="B20" i="3" l="1"/>
  <c r="C20" i="3" s="1"/>
  <c r="F20" i="3" s="1"/>
  <c r="A21" i="3"/>
  <c r="G20" i="3"/>
  <c r="H20" i="3" s="1"/>
  <c r="J20" i="3" s="1"/>
  <c r="K20" i="3" s="1"/>
  <c r="D19" i="3"/>
  <c r="E19" i="3" s="1"/>
  <c r="B21" i="3" l="1"/>
  <c r="C21" i="3" s="1"/>
  <c r="F21" i="3" s="1"/>
  <c r="A22" i="3"/>
  <c r="G21" i="3"/>
  <c r="H21" i="3" s="1"/>
  <c r="J21" i="3" s="1"/>
  <c r="K21" i="3" s="1"/>
  <c r="D20" i="3"/>
  <c r="E20" i="3" s="1"/>
  <c r="B22" i="3" l="1"/>
  <c r="C22" i="3" s="1"/>
  <c r="F22" i="3" s="1"/>
  <c r="A23" i="3"/>
  <c r="G22" i="3"/>
  <c r="H22" i="3" s="1"/>
  <c r="J22" i="3" s="1"/>
  <c r="K22" i="3" s="1"/>
  <c r="D21" i="3"/>
  <c r="E21" i="3" s="1"/>
  <c r="B23" i="3" l="1"/>
  <c r="C23" i="3" s="1"/>
  <c r="F23" i="3" s="1"/>
  <c r="A24" i="3"/>
  <c r="G23" i="3"/>
  <c r="H23" i="3" s="1"/>
  <c r="J23" i="3" s="1"/>
  <c r="K23" i="3" s="1"/>
  <c r="D22" i="3"/>
  <c r="E22" i="3" s="1"/>
  <c r="A25" i="3" l="1"/>
  <c r="G24" i="3"/>
  <c r="H24" i="3" s="1"/>
  <c r="J24" i="3" s="1"/>
  <c r="K24" i="3" s="1"/>
  <c r="B24" i="3"/>
  <c r="C24" i="3" s="1"/>
  <c r="F24" i="3" s="1"/>
  <c r="D23" i="3"/>
  <c r="E23" i="3" s="1"/>
  <c r="D24" i="3" l="1"/>
  <c r="E24" i="3" s="1"/>
  <c r="A26" i="3"/>
  <c r="G25" i="3"/>
  <c r="H25" i="3" s="1"/>
  <c r="J25" i="3" s="1"/>
  <c r="K25" i="3" s="1"/>
  <c r="B25" i="3"/>
  <c r="C25" i="3" s="1"/>
  <c r="F25" i="3" s="1"/>
  <c r="A27" i="3" l="1"/>
  <c r="B26" i="3"/>
  <c r="C26" i="3" s="1"/>
  <c r="F26" i="3" s="1"/>
  <c r="D25" i="3"/>
  <c r="E25" i="3" s="1"/>
  <c r="D26" i="3" l="1"/>
  <c r="E26" i="3" s="1"/>
  <c r="G26" i="3"/>
  <c r="H26" i="3" s="1"/>
  <c r="J26" i="3" s="1"/>
  <c r="A28" i="3"/>
  <c r="B27" i="3"/>
  <c r="C27" i="3" s="1"/>
  <c r="F27" i="3" s="1"/>
  <c r="G27" i="3"/>
  <c r="H27" i="3" s="1"/>
  <c r="J27" i="3" s="1"/>
  <c r="K27" i="3" s="1"/>
  <c r="K26" i="3" l="1"/>
  <c r="D27" i="3"/>
  <c r="E27" i="3" s="1"/>
  <c r="B28" i="3"/>
  <c r="C28" i="3" s="1"/>
  <c r="F28" i="3" s="1"/>
  <c r="A29" i="3"/>
  <c r="G28" i="3"/>
  <c r="H28" i="3" s="1"/>
  <c r="J28" i="3" s="1"/>
  <c r="K28" i="3" s="1"/>
  <c r="D28" i="3" l="1"/>
  <c r="E28" i="3" s="1"/>
  <c r="B29" i="3"/>
  <c r="C29" i="3" s="1"/>
  <c r="F29" i="3" s="1"/>
  <c r="G29" i="3"/>
  <c r="H29" i="3" s="1"/>
  <c r="J29" i="3" s="1"/>
  <c r="K29" i="3" s="1"/>
  <c r="A30" i="3"/>
  <c r="D29" i="3" l="1"/>
  <c r="E29" i="3" s="1"/>
  <c r="B30" i="3"/>
  <c r="C30" i="3" s="1"/>
  <c r="F30" i="3" s="1"/>
  <c r="G30" i="3"/>
  <c r="H30" i="3" s="1"/>
  <c r="J30" i="3" s="1"/>
  <c r="K30" i="3" s="1"/>
  <c r="A31" i="3"/>
  <c r="D30" i="3" l="1"/>
  <c r="E30" i="3" s="1"/>
  <c r="B31" i="3"/>
  <c r="C31" i="3" s="1"/>
  <c r="F31" i="3" s="1"/>
  <c r="A32" i="3"/>
  <c r="G31" i="3"/>
  <c r="H31" i="3" s="1"/>
  <c r="J31" i="3" s="1"/>
  <c r="K31" i="3" s="1"/>
  <c r="B32" i="3" l="1"/>
  <c r="C32" i="3" s="1"/>
  <c r="F32" i="3" s="1"/>
  <c r="G32" i="3"/>
  <c r="H32" i="3" s="1"/>
  <c r="J32" i="3" s="1"/>
  <c r="K32" i="3" s="1"/>
  <c r="A33" i="3"/>
  <c r="D31" i="3"/>
  <c r="E31" i="3" s="1"/>
  <c r="G33" i="3" l="1"/>
  <c r="H33" i="3" s="1"/>
  <c r="J33" i="3" s="1"/>
  <c r="K33" i="3" s="1"/>
  <c r="A34" i="3"/>
  <c r="B33" i="3"/>
  <c r="C33" i="3" s="1"/>
  <c r="F33" i="3" s="1"/>
  <c r="D32" i="3"/>
  <c r="E32" i="3" s="1"/>
  <c r="D33" i="3" l="1"/>
  <c r="E33" i="3" s="1"/>
  <c r="B34" i="3"/>
  <c r="C34" i="3" s="1"/>
  <c r="F34" i="3" s="1"/>
  <c r="G34" i="3"/>
  <c r="H34" i="3" s="1"/>
  <c r="J34" i="3" s="1"/>
  <c r="K34" i="3" s="1"/>
  <c r="A35" i="3"/>
  <c r="D34" i="3" l="1"/>
  <c r="E34" i="3" s="1"/>
  <c r="G35" i="3"/>
  <c r="H35" i="3" s="1"/>
  <c r="J35" i="3" s="1"/>
  <c r="K35" i="3" s="1"/>
  <c r="B35" i="3"/>
  <c r="C35" i="3" s="1"/>
  <c r="F35" i="3" s="1"/>
  <c r="A36" i="3"/>
  <c r="D35" i="3" l="1"/>
  <c r="E35" i="3" s="1"/>
  <c r="A37" i="3"/>
  <c r="B36" i="3"/>
  <c r="C36" i="3" s="1"/>
  <c r="F36" i="3" s="1"/>
  <c r="G36" i="3"/>
  <c r="H36" i="3" s="1"/>
  <c r="J36" i="3" s="1"/>
  <c r="K36" i="3" s="1"/>
  <c r="D36" i="3" l="1"/>
  <c r="E36" i="3" s="1"/>
  <c r="B37" i="3"/>
  <c r="C37" i="3" s="1"/>
  <c r="F37" i="3" s="1"/>
  <c r="A38" i="3"/>
  <c r="G37" i="3"/>
  <c r="H37" i="3" s="1"/>
  <c r="J37" i="3" s="1"/>
  <c r="K37" i="3" s="1"/>
  <c r="A39" i="3" l="1"/>
  <c r="G38" i="3"/>
  <c r="H38" i="3" s="1"/>
  <c r="B38" i="3"/>
  <c r="C38" i="3" s="1"/>
  <c r="F38" i="3" s="1"/>
  <c r="D37" i="3"/>
  <c r="E37" i="3" s="1"/>
  <c r="J38" i="3"/>
  <c r="K38" i="3" l="1"/>
  <c r="D38" i="3"/>
  <c r="E38" i="3" s="1"/>
  <c r="A40" i="3"/>
  <c r="B39" i="3"/>
  <c r="C39" i="3" s="1"/>
  <c r="F39" i="3" s="1"/>
  <c r="G39" i="3"/>
  <c r="H39" i="3" s="1"/>
  <c r="J39" i="3" s="1"/>
  <c r="K39" i="3" s="1"/>
  <c r="D39" i="3" l="1"/>
  <c r="E39" i="3" s="1"/>
  <c r="A41" i="3"/>
  <c r="G40" i="3"/>
  <c r="H40" i="3" s="1"/>
  <c r="J40" i="3" s="1"/>
  <c r="K40" i="3" s="1"/>
  <c r="B40" i="3"/>
  <c r="C40" i="3" s="1"/>
  <c r="F40" i="3" s="1"/>
  <c r="G41" i="3" l="1"/>
  <c r="H41" i="3" s="1"/>
  <c r="J41" i="3" s="1"/>
  <c r="K41" i="3" s="1"/>
  <c r="B41" i="3"/>
  <c r="C41" i="3" s="1"/>
  <c r="F41" i="3" s="1"/>
  <c r="A42" i="3"/>
  <c r="D40" i="3"/>
  <c r="E40" i="3" s="1"/>
  <c r="A43" i="3" l="1"/>
  <c r="B42" i="3"/>
  <c r="C42" i="3" s="1"/>
  <c r="F42" i="3" s="1"/>
  <c r="G42" i="3"/>
  <c r="H42" i="3" s="1"/>
  <c r="J42" i="3" s="1"/>
  <c r="K42" i="3" s="1"/>
  <c r="D41" i="3"/>
  <c r="E41" i="3" s="1"/>
  <c r="D42" i="3" l="1"/>
  <c r="E42" i="3" s="1"/>
  <c r="G43" i="3"/>
  <c r="H43" i="3" s="1"/>
  <c r="J43" i="3" s="1"/>
  <c r="K43" i="3" s="1"/>
  <c r="B43" i="3"/>
  <c r="C43" i="3" s="1"/>
  <c r="F43" i="3" s="1"/>
  <c r="A44" i="3"/>
  <c r="D43" i="3" l="1"/>
  <c r="E43" i="3" s="1"/>
  <c r="G44" i="3"/>
  <c r="H44" i="3" s="1"/>
  <c r="J44" i="3" s="1"/>
  <c r="K44" i="3" s="1"/>
  <c r="B44" i="3"/>
  <c r="C44" i="3" s="1"/>
  <c r="F44" i="3" s="1"/>
  <c r="A45" i="3"/>
  <c r="D44" i="3" l="1"/>
  <c r="E44" i="3" s="1"/>
  <c r="G45" i="3"/>
  <c r="H45" i="3" s="1"/>
  <c r="J45" i="3" s="1"/>
  <c r="K45" i="3" s="1"/>
  <c r="A46" i="3"/>
  <c r="B45" i="3"/>
  <c r="C45" i="3" s="1"/>
  <c r="F45" i="3" s="1"/>
  <c r="B46" i="3" l="1"/>
  <c r="C46" i="3" s="1"/>
  <c r="F46" i="3" s="1"/>
  <c r="A47" i="3"/>
  <c r="G46" i="3"/>
  <c r="H46" i="3" s="1"/>
  <c r="J46" i="3" s="1"/>
  <c r="K46" i="3" s="1"/>
  <c r="D45" i="3"/>
  <c r="E45" i="3" s="1"/>
  <c r="G47" i="3" l="1"/>
  <c r="H47" i="3" s="1"/>
  <c r="J47" i="3" s="1"/>
  <c r="K47" i="3" s="1"/>
  <c r="A48" i="3"/>
  <c r="B47" i="3"/>
  <c r="C47" i="3" s="1"/>
  <c r="F47" i="3" s="1"/>
  <c r="D46" i="3"/>
  <c r="E46" i="3" s="1"/>
  <c r="D47" i="3" l="1"/>
  <c r="E47" i="3" s="1"/>
  <c r="G48" i="3"/>
  <c r="H48" i="3" s="1"/>
  <c r="J48" i="3" s="1"/>
  <c r="K48" i="3" s="1"/>
  <c r="B48" i="3"/>
  <c r="C48" i="3" s="1"/>
  <c r="F48" i="3" s="1"/>
  <c r="A49" i="3"/>
  <c r="D48" i="3" l="1"/>
  <c r="E48" i="3" s="1"/>
  <c r="A50" i="3"/>
  <c r="G49" i="3"/>
  <c r="H49" i="3" s="1"/>
  <c r="J49" i="3" s="1"/>
  <c r="K49" i="3" s="1"/>
  <c r="B49" i="3"/>
  <c r="C49" i="3" s="1"/>
  <c r="F49" i="3" s="1"/>
  <c r="A51" i="3" l="1"/>
  <c r="G50" i="3"/>
  <c r="H50" i="3" s="1"/>
  <c r="J50" i="3" s="1"/>
  <c r="K50" i="3" s="1"/>
  <c r="B50" i="3"/>
  <c r="C50" i="3" s="1"/>
  <c r="F50" i="3" s="1"/>
  <c r="D49" i="3"/>
  <c r="E49" i="3" s="1"/>
  <c r="D50" i="3" l="1"/>
  <c r="E50" i="3" s="1"/>
  <c r="B51" i="3"/>
  <c r="C51" i="3" s="1"/>
  <c r="F51" i="3" s="1"/>
  <c r="A52" i="3"/>
  <c r="G51" i="3"/>
  <c r="H51" i="3" s="1"/>
  <c r="J51" i="3" s="1"/>
  <c r="K51" i="3" s="1"/>
  <c r="A53" i="3" l="1"/>
  <c r="B52" i="3"/>
  <c r="C52" i="3" s="1"/>
  <c r="F52" i="3" s="1"/>
  <c r="G52" i="3"/>
  <c r="H52" i="3" s="1"/>
  <c r="J52" i="3" s="1"/>
  <c r="K52" i="3" s="1"/>
  <c r="D51" i="3"/>
  <c r="E51" i="3" s="1"/>
  <c r="D52" i="3" l="1"/>
  <c r="E52" i="3" s="1"/>
  <c r="G53" i="3"/>
  <c r="H53" i="3" s="1"/>
  <c r="J53" i="3" s="1"/>
  <c r="K53" i="3" s="1"/>
  <c r="B53" i="3"/>
  <c r="C53" i="3" s="1"/>
  <c r="F53" i="3" s="1"/>
  <c r="A54" i="3"/>
  <c r="D53" i="3" l="1"/>
  <c r="E53" i="3" s="1"/>
  <c r="G54" i="3"/>
  <c r="H54" i="3" s="1"/>
  <c r="J54" i="3" s="1"/>
  <c r="K54" i="3" s="1"/>
  <c r="B54" i="3"/>
  <c r="C54" i="3" s="1"/>
  <c r="F54" i="3" s="1"/>
  <c r="A55" i="3"/>
  <c r="D54" i="3" l="1"/>
  <c r="E54" i="3" s="1"/>
  <c r="B55" i="3"/>
  <c r="C55" i="3" s="1"/>
  <c r="F55" i="3" s="1"/>
  <c r="A56" i="3"/>
  <c r="G55" i="3"/>
  <c r="H55" i="3" s="1"/>
  <c r="J55" i="3" s="1"/>
  <c r="K55" i="3" s="1"/>
  <c r="G56" i="3" l="1"/>
  <c r="H56" i="3" s="1"/>
  <c r="J56" i="3" s="1"/>
  <c r="K56" i="3" s="1"/>
  <c r="B56" i="3"/>
  <c r="C56" i="3" s="1"/>
  <c r="F56" i="3" s="1"/>
  <c r="A57" i="3"/>
  <c r="D55" i="3"/>
  <c r="E55" i="3" s="1"/>
  <c r="G57" i="3" l="1"/>
  <c r="H57" i="3" s="1"/>
  <c r="J57" i="3" s="1"/>
  <c r="K57" i="3" s="1"/>
  <c r="B57" i="3"/>
  <c r="C57" i="3" s="1"/>
  <c r="F57" i="3" s="1"/>
  <c r="A58" i="3"/>
  <c r="D56" i="3"/>
  <c r="E56" i="3" s="1"/>
  <c r="A59" i="3" l="1"/>
  <c r="B58" i="3"/>
  <c r="C58" i="3" s="1"/>
  <c r="F58" i="3" s="1"/>
  <c r="G58" i="3"/>
  <c r="H58" i="3" s="1"/>
  <c r="J58" i="3" s="1"/>
  <c r="K58" i="3" s="1"/>
  <c r="D57" i="3"/>
  <c r="E57" i="3" s="1"/>
  <c r="D58" i="3" l="1"/>
  <c r="E58" i="3" s="1"/>
  <c r="G59" i="3"/>
  <c r="H59" i="3" s="1"/>
  <c r="J59" i="3" s="1"/>
  <c r="K59" i="3" s="1"/>
  <c r="B59" i="3"/>
  <c r="C59" i="3" s="1"/>
  <c r="F59" i="3" s="1"/>
  <c r="A60" i="3"/>
  <c r="D59" i="3" l="1"/>
  <c r="E59" i="3" s="1"/>
  <c r="A61" i="3"/>
  <c r="G60" i="3"/>
  <c r="H60" i="3" s="1"/>
  <c r="J60" i="3" s="1"/>
  <c r="K60" i="3" s="1"/>
  <c r="B60" i="3"/>
  <c r="C60" i="3" s="1"/>
  <c r="F60" i="3" s="1"/>
  <c r="B61" i="3" l="1"/>
  <c r="C61" i="3" s="1"/>
  <c r="F61" i="3" s="1"/>
  <c r="A62" i="3"/>
  <c r="G61" i="3"/>
  <c r="H61" i="3" s="1"/>
  <c r="J61" i="3" s="1"/>
  <c r="K61" i="3" s="1"/>
  <c r="D60" i="3"/>
  <c r="E60" i="3" s="1"/>
  <c r="G62" i="3" l="1"/>
  <c r="H62" i="3" s="1"/>
  <c r="J62" i="3" s="1"/>
  <c r="K62" i="3" s="1"/>
  <c r="A63" i="3"/>
  <c r="B62" i="3"/>
  <c r="C62" i="3" s="1"/>
  <c r="F62" i="3" s="1"/>
  <c r="D61" i="3"/>
  <c r="E61" i="3" s="1"/>
  <c r="D62" i="3" l="1"/>
  <c r="E62" i="3" s="1"/>
  <c r="G63" i="3"/>
  <c r="H63" i="3" s="1"/>
  <c r="J63" i="3" s="1"/>
  <c r="K63" i="3" s="1"/>
  <c r="B63" i="3"/>
  <c r="C63" i="3" s="1"/>
  <c r="F63" i="3" s="1"/>
  <c r="A64" i="3"/>
  <c r="D63" i="3" l="1"/>
  <c r="E63" i="3" s="1"/>
  <c r="G64" i="3"/>
  <c r="H64" i="3" s="1"/>
  <c r="J64" i="3" s="1"/>
  <c r="K64" i="3" s="1"/>
  <c r="B64" i="3"/>
  <c r="C64" i="3" s="1"/>
  <c r="F64" i="3" s="1"/>
  <c r="A65" i="3"/>
  <c r="D64" i="3" l="1"/>
  <c r="E64" i="3" s="1"/>
  <c r="A66" i="3"/>
  <c r="G65" i="3"/>
  <c r="H65" i="3" s="1"/>
  <c r="J65" i="3" s="1"/>
  <c r="K65" i="3" s="1"/>
  <c r="B65" i="3"/>
  <c r="C65" i="3" s="1"/>
  <c r="F65" i="3" s="1"/>
  <c r="G66" i="3" l="1"/>
  <c r="H66" i="3" s="1"/>
  <c r="J66" i="3" s="1"/>
  <c r="K66" i="3" s="1"/>
  <c r="B66" i="3"/>
  <c r="C66" i="3" s="1"/>
  <c r="F66" i="3" s="1"/>
  <c r="A67" i="3"/>
  <c r="D65" i="3"/>
  <c r="E65" i="3" s="1"/>
  <c r="G67" i="3" l="1"/>
  <c r="H67" i="3" s="1"/>
  <c r="J67" i="3" s="1"/>
  <c r="K67" i="3" s="1"/>
  <c r="B67" i="3"/>
  <c r="C67" i="3" s="1"/>
  <c r="F67" i="3" s="1"/>
  <c r="A68" i="3"/>
  <c r="D66" i="3"/>
  <c r="E66" i="3" s="1"/>
  <c r="G68" i="3" l="1"/>
  <c r="H68" i="3" s="1"/>
  <c r="J68" i="3" s="1"/>
  <c r="K68" i="3" s="1"/>
  <c r="B68" i="3"/>
  <c r="C68" i="3" s="1"/>
  <c r="F68" i="3" s="1"/>
  <c r="A69" i="3"/>
  <c r="D67" i="3"/>
  <c r="E67" i="3" s="1"/>
  <c r="G69" i="3" l="1"/>
  <c r="H69" i="3" s="1"/>
  <c r="J69" i="3" s="1"/>
  <c r="K69" i="3" s="1"/>
  <c r="B69" i="3"/>
  <c r="C69" i="3" s="1"/>
  <c r="F69" i="3" s="1"/>
  <c r="A70" i="3"/>
  <c r="D68" i="3"/>
  <c r="E68" i="3" s="1"/>
  <c r="A71" i="3" l="1"/>
  <c r="G70" i="3"/>
  <c r="H70" i="3" s="1"/>
  <c r="J70" i="3" s="1"/>
  <c r="K70" i="3" s="1"/>
  <c r="B70" i="3"/>
  <c r="C70" i="3" s="1"/>
  <c r="F70" i="3" s="1"/>
  <c r="D69" i="3"/>
  <c r="E69" i="3" s="1"/>
  <c r="D70" i="3" l="1"/>
  <c r="E70" i="3" s="1"/>
  <c r="B71" i="3"/>
  <c r="C71" i="3" s="1"/>
  <c r="F71" i="3" s="1"/>
  <c r="A72" i="3"/>
  <c r="G71" i="3"/>
  <c r="H71" i="3" s="1"/>
  <c r="J71" i="3" s="1"/>
  <c r="K71" i="3" s="1"/>
  <c r="G72" i="3" l="1"/>
  <c r="H72" i="3" s="1"/>
  <c r="J72" i="3" s="1"/>
  <c r="K72" i="3" s="1"/>
  <c r="B72" i="3"/>
  <c r="C72" i="3" s="1"/>
  <c r="F72" i="3" s="1"/>
  <c r="A73" i="3"/>
  <c r="D71" i="3"/>
  <c r="E71" i="3" s="1"/>
  <c r="A74" i="3" l="1"/>
  <c r="B73" i="3"/>
  <c r="C73" i="3" s="1"/>
  <c r="F73" i="3" s="1"/>
  <c r="G73" i="3"/>
  <c r="H73" i="3" s="1"/>
  <c r="J73" i="3" s="1"/>
  <c r="K73" i="3" s="1"/>
  <c r="D72" i="3"/>
  <c r="E72" i="3" s="1"/>
  <c r="D73" i="3" l="1"/>
  <c r="E73" i="3" s="1"/>
  <c r="B74" i="3"/>
  <c r="C74" i="3" s="1"/>
  <c r="F74" i="3" s="1"/>
  <c r="G74" i="3" s="1"/>
  <c r="H74" i="3" s="1"/>
  <c r="A75" i="3"/>
  <c r="J74" i="3"/>
  <c r="K74" i="3" l="1"/>
  <c r="D74" i="3"/>
  <c r="E74" i="3" s="1"/>
  <c r="G75" i="3"/>
  <c r="H75" i="3" s="1"/>
  <c r="J75" i="3" s="1"/>
  <c r="K75" i="3" s="1"/>
  <c r="B75" i="3"/>
  <c r="C75" i="3" s="1"/>
  <c r="F75" i="3" s="1"/>
  <c r="A76" i="3"/>
  <c r="D75" i="3" l="1"/>
  <c r="E75" i="3" s="1"/>
  <c r="B76" i="3"/>
  <c r="C76" i="3" s="1"/>
  <c r="F76" i="3" s="1"/>
  <c r="A77" i="3"/>
  <c r="G76" i="3"/>
  <c r="H76" i="3" s="1"/>
  <c r="J76" i="3" s="1"/>
  <c r="K76" i="3" s="1"/>
  <c r="B77" i="3" l="1"/>
  <c r="C77" i="3" s="1"/>
  <c r="F77" i="3" s="1"/>
  <c r="A78" i="3"/>
  <c r="G77" i="3"/>
  <c r="H77" i="3" s="1"/>
  <c r="J77" i="3" s="1"/>
  <c r="K77" i="3" s="1"/>
  <c r="D76" i="3"/>
  <c r="E76" i="3" s="1"/>
  <c r="G78" i="3" l="1"/>
  <c r="H78" i="3" s="1"/>
  <c r="J78" i="3" s="1"/>
  <c r="K78" i="3" s="1"/>
  <c r="A79" i="3"/>
  <c r="B78" i="3"/>
  <c r="C78" i="3" s="1"/>
  <c r="F78" i="3" s="1"/>
  <c r="D77" i="3"/>
  <c r="E77" i="3" s="1"/>
  <c r="D78" i="3" l="1"/>
  <c r="E78" i="3" s="1"/>
  <c r="G79" i="3"/>
  <c r="H79" i="3" s="1"/>
  <c r="J79" i="3" s="1"/>
  <c r="K79" i="3" s="1"/>
  <c r="B79" i="3"/>
  <c r="C79" i="3" s="1"/>
  <c r="F79" i="3" s="1"/>
  <c r="A80" i="3"/>
  <c r="D79" i="3" l="1"/>
  <c r="E79" i="3" s="1"/>
  <c r="B80" i="3"/>
  <c r="C80" i="3" s="1"/>
  <c r="F80" i="3" s="1"/>
  <c r="A81" i="3"/>
  <c r="G80" i="3"/>
  <c r="H80" i="3" s="1"/>
  <c r="J80" i="3" s="1"/>
  <c r="K80" i="3" s="1"/>
  <c r="A82" i="3" l="1"/>
  <c r="G81" i="3"/>
  <c r="H81" i="3" s="1"/>
  <c r="J81" i="3" s="1"/>
  <c r="K81" i="3" s="1"/>
  <c r="B81" i="3"/>
  <c r="C81" i="3" s="1"/>
  <c r="F81" i="3" s="1"/>
  <c r="D80" i="3"/>
  <c r="E80" i="3" s="1"/>
  <c r="D81" i="3" l="1"/>
  <c r="E81" i="3" s="1"/>
  <c r="A83" i="3"/>
  <c r="B82" i="3"/>
  <c r="C82" i="3" s="1"/>
  <c r="F82" i="3" s="1"/>
  <c r="G82" i="3"/>
  <c r="H82" i="3" s="1"/>
  <c r="J82" i="3" s="1"/>
  <c r="K82" i="3" s="1"/>
  <c r="D82" i="3" l="1"/>
  <c r="E82" i="3" s="1"/>
  <c r="G83" i="3"/>
  <c r="H83" i="3" s="1"/>
  <c r="J83" i="3" s="1"/>
  <c r="K83" i="3" s="1"/>
  <c r="B83" i="3"/>
  <c r="C83" i="3" s="1"/>
  <c r="F83" i="3" s="1"/>
  <c r="A84" i="3"/>
  <c r="D83" i="3" l="1"/>
  <c r="E83" i="3" s="1"/>
  <c r="G84" i="3"/>
  <c r="H84" i="3" s="1"/>
  <c r="J84" i="3" s="1"/>
  <c r="K84" i="3" s="1"/>
  <c r="B84" i="3"/>
  <c r="C84" i="3" s="1"/>
  <c r="F84" i="3" s="1"/>
  <c r="A85" i="3"/>
  <c r="D84" i="3" l="1"/>
  <c r="E84" i="3" s="1"/>
  <c r="G85" i="3"/>
  <c r="H85" i="3" s="1"/>
  <c r="J85" i="3" s="1"/>
  <c r="K85" i="3" s="1"/>
  <c r="B85" i="3"/>
  <c r="C85" i="3" s="1"/>
  <c r="F85" i="3" s="1"/>
  <c r="A86" i="3"/>
  <c r="D85" i="3" l="1"/>
  <c r="E85" i="3" s="1"/>
  <c r="G86" i="3"/>
  <c r="H86" i="3" s="1"/>
  <c r="J86" i="3" s="1"/>
  <c r="K86" i="3" s="1"/>
  <c r="B86" i="3"/>
  <c r="C86" i="3" s="1"/>
  <c r="F86" i="3" s="1"/>
  <c r="A87" i="3"/>
  <c r="D86" i="3" l="1"/>
  <c r="E86" i="3" s="1"/>
  <c r="B87" i="3"/>
  <c r="C87" i="3" s="1"/>
  <c r="F87" i="3" s="1"/>
  <c r="G87" i="3"/>
  <c r="H87" i="3" s="1"/>
  <c r="J87" i="3" s="1"/>
  <c r="K87" i="3" s="1"/>
  <c r="A88" i="3"/>
  <c r="D87" i="3" l="1"/>
  <c r="E87" i="3" s="1"/>
  <c r="B88" i="3"/>
  <c r="C88" i="3" s="1"/>
  <c r="F88" i="3" s="1"/>
  <c r="A89" i="3"/>
  <c r="G88" i="3"/>
  <c r="H88" i="3" s="1"/>
  <c r="J88" i="3" s="1"/>
  <c r="K88" i="3" s="1"/>
  <c r="G89" i="3" l="1"/>
  <c r="H89" i="3" s="1"/>
  <c r="J89" i="3" s="1"/>
  <c r="K89" i="3" s="1"/>
  <c r="B89" i="3"/>
  <c r="C89" i="3" s="1"/>
  <c r="F89" i="3" s="1"/>
  <c r="A90" i="3"/>
  <c r="D88" i="3"/>
  <c r="E88" i="3" s="1"/>
  <c r="B90" i="3" l="1"/>
  <c r="C90" i="3" s="1"/>
  <c r="F90" i="3" s="1"/>
  <c r="G90" i="3"/>
  <c r="H90" i="3" s="1"/>
  <c r="J90" i="3" s="1"/>
  <c r="K90" i="3" s="1"/>
  <c r="A91" i="3"/>
  <c r="D89" i="3"/>
  <c r="E89" i="3" s="1"/>
  <c r="A92" i="3" l="1"/>
  <c r="G91" i="3"/>
  <c r="H91" i="3" s="1"/>
  <c r="J91" i="3" s="1"/>
  <c r="K91" i="3" s="1"/>
  <c r="B91" i="3"/>
  <c r="C91" i="3" s="1"/>
  <c r="F91" i="3" s="1"/>
  <c r="D90" i="3"/>
  <c r="E90" i="3" s="1"/>
  <c r="D91" i="3" l="1"/>
  <c r="E91" i="3" s="1"/>
  <c r="A93" i="3"/>
  <c r="G92" i="3"/>
  <c r="H92" i="3" s="1"/>
  <c r="J92" i="3" s="1"/>
  <c r="K92" i="3" s="1"/>
  <c r="B92" i="3"/>
  <c r="C92" i="3" s="1"/>
  <c r="F92" i="3" s="1"/>
  <c r="A94" i="3" l="1"/>
  <c r="G93" i="3"/>
  <c r="H93" i="3" s="1"/>
  <c r="J93" i="3" s="1"/>
  <c r="K93" i="3" s="1"/>
  <c r="B93" i="3"/>
  <c r="C93" i="3" s="1"/>
  <c r="F93" i="3" s="1"/>
  <c r="D92" i="3"/>
  <c r="E92" i="3" s="1"/>
  <c r="D93" i="3" l="1"/>
  <c r="E93" i="3" s="1"/>
  <c r="B94" i="3"/>
  <c r="C94" i="3" s="1"/>
  <c r="F94" i="3" s="1"/>
  <c r="A95" i="3"/>
  <c r="G94" i="3"/>
  <c r="H94" i="3" s="1"/>
  <c r="J94" i="3" s="1"/>
  <c r="K94" i="3" s="1"/>
  <c r="G95" i="3" l="1"/>
  <c r="H95" i="3" s="1"/>
  <c r="J95" i="3" s="1"/>
  <c r="K95" i="3" s="1"/>
  <c r="B95" i="3"/>
  <c r="C95" i="3" s="1"/>
  <c r="F95" i="3" s="1"/>
  <c r="A96" i="3"/>
  <c r="D94" i="3"/>
  <c r="E94" i="3" s="1"/>
  <c r="A97" i="3" l="1"/>
  <c r="B96" i="3"/>
  <c r="C96" i="3" s="1"/>
  <c r="F96" i="3" s="1"/>
  <c r="G96" i="3"/>
  <c r="H96" i="3" s="1"/>
  <c r="J96" i="3" s="1"/>
  <c r="K96" i="3" s="1"/>
  <c r="D95" i="3"/>
  <c r="E95" i="3" s="1"/>
  <c r="D96" i="3" l="1"/>
  <c r="E96" i="3" s="1"/>
  <c r="G97" i="3"/>
  <c r="H97" i="3" s="1"/>
  <c r="J97" i="3" s="1"/>
  <c r="K97" i="3" s="1"/>
  <c r="B97" i="3"/>
  <c r="C97" i="3" s="1"/>
  <c r="F97" i="3" s="1"/>
  <c r="A98" i="3"/>
  <c r="D97" i="3" l="1"/>
  <c r="E97" i="3" s="1"/>
  <c r="A99" i="3"/>
  <c r="B98" i="3"/>
  <c r="C98" i="3" s="1"/>
  <c r="F98" i="3" s="1"/>
  <c r="G98" i="3"/>
  <c r="H98" i="3" s="1"/>
  <c r="J98" i="3" s="1"/>
  <c r="K98" i="3" s="1"/>
  <c r="D98" i="3" l="1"/>
  <c r="E98" i="3" s="1"/>
  <c r="B99" i="3"/>
  <c r="C99" i="3" s="1"/>
  <c r="F99" i="3" s="1"/>
  <c r="A100" i="3"/>
  <c r="G99" i="3"/>
  <c r="H99" i="3" s="1"/>
  <c r="J99" i="3" s="1"/>
  <c r="K99" i="3" s="1"/>
  <c r="G100" i="3" l="1"/>
  <c r="H100" i="3" s="1"/>
  <c r="J100" i="3" s="1"/>
  <c r="K100" i="3" s="1"/>
  <c r="B100" i="3"/>
  <c r="C100" i="3" s="1"/>
  <c r="F100" i="3" s="1"/>
  <c r="A101" i="3"/>
  <c r="D99" i="3"/>
  <c r="E99" i="3" s="1"/>
  <c r="G101" i="3" l="1"/>
  <c r="B101" i="3"/>
  <c r="C101" i="3" s="1"/>
  <c r="F101" i="3" s="1"/>
  <c r="A102" i="3"/>
  <c r="D100" i="3"/>
  <c r="E100" i="3" s="1"/>
  <c r="G102" i="3" l="1"/>
  <c r="H102" i="3" s="1"/>
  <c r="J102" i="3" s="1"/>
  <c r="K102" i="3" s="1"/>
  <c r="B102" i="3"/>
  <c r="C102" i="3" s="1"/>
  <c r="F102" i="3" s="1"/>
  <c r="D101" i="3"/>
  <c r="E101" i="3" s="1"/>
  <c r="H101" i="3"/>
  <c r="G104" i="3"/>
  <c r="D37" i="2" l="1"/>
  <c r="D44" i="2"/>
  <c r="D7" i="5" s="1"/>
  <c r="D102" i="3"/>
  <c r="E102" i="3" s="1"/>
  <c r="J101" i="3"/>
  <c r="K101" i="3" s="1"/>
  <c r="H104" i="3"/>
  <c r="H105" i="3" s="1"/>
  <c r="H16" i="1" l="1"/>
  <c r="F22" i="1" s="1"/>
  <c r="F25" i="1" s="1"/>
  <c r="F27" i="1" s="1"/>
  <c r="G32" i="1" s="1"/>
  <c r="C68" i="2"/>
  <c r="D47" i="2"/>
  <c r="D29" i="5"/>
  <c r="D31" i="5" s="1"/>
  <c r="D43" i="2"/>
  <c r="D38" i="2"/>
  <c r="C16" i="1" s="1"/>
  <c r="F20" i="1" s="1"/>
  <c r="D39" i="2"/>
  <c r="E16" i="1" s="1"/>
  <c r="D32" i="1" s="1"/>
  <c r="D40" i="2"/>
  <c r="D30" i="5" l="1"/>
  <c r="F21" i="1"/>
  <c r="C67" i="2"/>
  <c r="F14" i="2"/>
  <c r="F15" i="2" s="1"/>
  <c r="F16" i="2" s="1"/>
  <c r="D41" i="2" s="1"/>
</calcChain>
</file>

<file path=xl/sharedStrings.xml><?xml version="1.0" encoding="utf-8"?>
<sst xmlns="http://schemas.openxmlformats.org/spreadsheetml/2006/main" count="110" uniqueCount="100">
  <si>
    <t>ESTUDIO DEL DERECHO A PRESTAMO</t>
  </si>
  <si>
    <t>CONCEPTO</t>
  </si>
  <si>
    <t>SUELDO ACTUAL</t>
  </si>
  <si>
    <t>N</t>
  </si>
  <si>
    <t>FACTOR</t>
  </si>
  <si>
    <t>CUOTA MILLO</t>
  </si>
  <si>
    <t>total págo</t>
  </si>
  <si>
    <t>ESTUDIO DE CAPACIDAD DE ENDEUDAMIENTO</t>
  </si>
  <si>
    <t>PLAZO(MESES)</t>
  </si>
  <si>
    <t>COOPERATIVA DEL INEM</t>
  </si>
  <si>
    <t>RESULTADO</t>
  </si>
  <si>
    <t>DATOS</t>
  </si>
  <si>
    <t>CUOTA REAL</t>
  </si>
  <si>
    <t>CAPACIDAD DE ENDEUDAMIENTO</t>
  </si>
  <si>
    <t>PLAZO DEL PRESTAMO EN MESES</t>
  </si>
  <si>
    <t>VR DE LA CUOTA MENSUAL DE APORTES</t>
  </si>
  <si>
    <t>TASA NOMINAL MENSUAL VIGENTE</t>
  </si>
  <si>
    <t>VALOR SOLICITADO</t>
  </si>
  <si>
    <t xml:space="preserve">                                                         VALOR PARA REESTRUCTURAR</t>
  </si>
  <si>
    <t xml:space="preserve">                                               VALOR PARA  NOVACION</t>
  </si>
  <si>
    <t xml:space="preserve">                                                  VALOR PRESTAMO NUEVO</t>
  </si>
  <si>
    <t xml:space="preserve">                                           TOTAL OBLIGACIONES</t>
  </si>
  <si>
    <t>TASA EA</t>
  </si>
  <si>
    <t>TASA NOMINAL</t>
  </si>
  <si>
    <t>TASA N MENSUAL</t>
  </si>
  <si>
    <t>NOMINAL</t>
  </si>
  <si>
    <t>EA</t>
  </si>
  <si>
    <t>POR CAPACIDAD DE ENDEUDAMIENTO</t>
  </si>
  <si>
    <t>CAPACIDAD DE ENDEUDAMIENTO(Ley 1527/2012)</t>
  </si>
  <si>
    <t>Valor Cuota Mensual de Aportes</t>
  </si>
  <si>
    <t>Valor Cuota Mensual de Recreación</t>
  </si>
  <si>
    <t>Menos descuentos de Ley (Salud, Pensión, etc)</t>
  </si>
  <si>
    <t>Otros descuentos(Embargos)</t>
  </si>
  <si>
    <t>Otras deducciones</t>
  </si>
  <si>
    <t>APORTES MINIMOS PARA DESEMBOLSO</t>
  </si>
  <si>
    <t xml:space="preserve">MONTO DE PRESTAMO </t>
  </si>
  <si>
    <t>TASA EFECTIVA</t>
  </si>
  <si>
    <t>VR ESTIMADO DE INTERESES TOTALES A PAGAR EN EL TIEMPO PACTADO</t>
  </si>
  <si>
    <t>SEGURO DE VIDA DEUDORES</t>
  </si>
  <si>
    <t>VALOR DE LA CUOTA PRÉSTAMO(Capital + Intereses)</t>
  </si>
  <si>
    <t>VR DE CUOTA VOLUNTARIA DE FONDO DE RECREACION</t>
  </si>
  <si>
    <t>VR TOTAL DE LA CUOTA PARA PAGO MENSUAL</t>
  </si>
  <si>
    <t>COOINEM</t>
  </si>
  <si>
    <t>SUPERSOLADARIA</t>
  </si>
  <si>
    <t>nomInal mensual</t>
  </si>
  <si>
    <t>nominal anual</t>
  </si>
  <si>
    <t>efectiva</t>
  </si>
  <si>
    <t>Señores</t>
  </si>
  <si>
    <t>Ciudad.</t>
  </si>
  <si>
    <t xml:space="preserve">Yo, </t>
  </si>
  <si>
    <t>Comité de préstamos</t>
  </si>
  <si>
    <t>Cordial saludo.</t>
  </si>
  <si>
    <t xml:space="preserve">, identificado(a)  con  la  cedula  de  ciudadanía </t>
  </si>
  <si>
    <t xml:space="preserve">No. </t>
  </si>
  <si>
    <t>,  me  comprometo  a  realizar el pago por caja tesorería del</t>
  </si>
  <si>
    <t>préstamo a mi favor por valor de $</t>
  </si>
  <si>
    <t xml:space="preserve"> en</t>
  </si>
  <si>
    <t>cuotas mensuales de $</t>
  </si>
  <si>
    <t>mas la con-</t>
  </si>
  <si>
    <t>tribución voluntaria a Fondos comunes por valor de $</t>
  </si>
  <si>
    <t>VR PRESTAMOS A LA FECHA</t>
  </si>
  <si>
    <t>NUMERO DE CUOTAS</t>
  </si>
  <si>
    <t xml:space="preserve">CUOTA MENSUAL PRESTAMOS </t>
  </si>
  <si>
    <t>APORTES MENSUALES ASOCIADO</t>
  </si>
  <si>
    <t>FONDOS</t>
  </si>
  <si>
    <t>TOTAL</t>
  </si>
  <si>
    <t>DESCUENTO POR NOMINA</t>
  </si>
  <si>
    <t>-</t>
  </si>
  <si>
    <t>PAGOS POR CAJA TESORERIA</t>
  </si>
  <si>
    <t xml:space="preserve">Nota: Me comprometo a realizar el pago de las </t>
  </si>
  <si>
    <t xml:space="preserve">cuotas por valor de $ </t>
  </si>
  <si>
    <t>en CAJA TESORERIA, los primeros 10 días de cada mes.</t>
  </si>
  <si>
    <t xml:space="preserve">Para constancia firmo en Popayán  en fecha </t>
  </si>
  <si>
    <t>cc.</t>
  </si>
  <si>
    <t>Asociado Cooinem</t>
  </si>
  <si>
    <t>cada una, mas el respectivo valor de aportes que a la fecha son de $</t>
  </si>
  <si>
    <t>SIMULADOR DE PRESTAMO DE CONSUMO ORDINARIO</t>
  </si>
  <si>
    <t>con la normatividad establecidad en la Ley 1527 del 2012 (Marco general para libranzas o descuento directo) y</t>
  </si>
  <si>
    <t xml:space="preserve">c-El estudio de préstamo esta sujeto, entre otras, a la capacidad de descuento del Asociado de acuerdo </t>
  </si>
  <si>
    <t>b-El valor de la tasa de interés esta sujeta a las variaciones del gobierno y las politicas del fondo.</t>
  </si>
  <si>
    <t>VALOR DE CUOTA APROXIMADA</t>
  </si>
  <si>
    <t xml:space="preserve">SIMULADOR DE CREDITO </t>
  </si>
  <si>
    <r>
      <rPr>
        <b/>
        <sz val="10"/>
        <rFont val="Arial"/>
        <family val="2"/>
      </rPr>
      <t>Nota</t>
    </r>
    <r>
      <rPr>
        <sz val="8"/>
        <rFont val="Arial"/>
        <family val="2"/>
      </rPr>
      <t>: a- El valor de la cuota de crédito en este simulador no incluye seguro de deudores, ni aportes o cuotas de ahorro.</t>
    </r>
  </si>
  <si>
    <t>ESTUDIO DE CAPACIDAD DE CREDITO</t>
  </si>
  <si>
    <t>INGRESE EL VALOR DEL SALARIO BASICO</t>
  </si>
  <si>
    <t>INGRESE EL VALOR DE PAGO DE SALUD</t>
  </si>
  <si>
    <t>INGRESE EL VALOR DE EMBARGOS, SI LOS TIENE</t>
  </si>
  <si>
    <t>DISPONIBLES PARA CREDITOS Y OBLIGACIONES</t>
  </si>
  <si>
    <t>ESTUDIO CUOTA</t>
  </si>
  <si>
    <t>DIFERENCIA</t>
  </si>
  <si>
    <t xml:space="preserve">Menos LIBRANZAS CON BANCOS </t>
  </si>
  <si>
    <t>Menos OTROS DESCUENTOS</t>
  </si>
  <si>
    <t>INGRESE EL VALOR DE PAGO DE PENSION</t>
  </si>
  <si>
    <t>Para conocer el valor de la cuota que se ajusta a su presupuesto, llene los espacion en color naranja</t>
  </si>
  <si>
    <t>RECUERDE:</t>
  </si>
  <si>
    <t>Menos VALOR APORTES FONDO</t>
  </si>
  <si>
    <t>DISPONIBLE PARA LIBRANZA CREDITO FONDO</t>
  </si>
  <si>
    <t>SUME OTROS DESCUENTOS</t>
  </si>
  <si>
    <t>las politicas del Fondo para esta modalidad contempladas en el Reglamento de Crédito.</t>
  </si>
  <si>
    <t>Para conocer la capacidad de endeudamiento, llene los espacios de color naranja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</si>
</sst>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$&quot;\ #,##0;&quot;$&quot;\ \-#,##0"/>
    <numFmt numFmtId="165" formatCode="##,#0&quot;.&quot;0,000"/>
    <numFmt numFmtId="166" formatCode="0&quot;.&quot;0000000"/>
    <numFmt numFmtId="167" formatCode="_-[$$-240A]\ * #,##0_ ;_-[$$-240A]\ * \-#,##0\ ;_-[$$-240A]\ * &quot;-&quot;_ ;_-@_ "/>
    <numFmt numFmtId="168" formatCode="[$-C0A]d\-mmm\-yy;@"/>
    <numFmt numFmtId="169" formatCode="0.0000%"/>
    <numFmt numFmtId="170" formatCode="0.000"/>
    <numFmt numFmtId="171" formatCode="[$-C0A]d\ &quot;de&quot;\ mmmm\ &quot;de&quot;\ yyyy;@"/>
    <numFmt numFmtId="172" formatCode="0.0%"/>
    <numFmt numFmtId="173" formatCode="[$-F800]dddd\,\ mmmm\ dd\,\ yyyy"/>
    <numFmt numFmtId="174" formatCode="&quot;$&quot;\ #,##0"/>
  </numFmts>
  <fonts count="46">
    <font>
      <sz val="10"/>
      <name val="Arial"/>
    </font>
    <font>
      <sz val="10"/>
      <name val="Arial"/>
    </font>
    <font>
      <b/>
      <sz val="9"/>
      <name val="Arial"/>
      <family val="2"/>
    </font>
    <font>
      <b/>
      <sz val="9"/>
      <name val="Arial Baltic"/>
      <family val="2"/>
      <charset val="186"/>
    </font>
    <font>
      <sz val="9"/>
      <name val="Arial Baltic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sz val="8"/>
      <name val="Arial Baltic"/>
      <family val="2"/>
      <charset val="186"/>
    </font>
    <font>
      <sz val="6"/>
      <name val="Arial Baltic"/>
      <family val="2"/>
      <charset val="186"/>
    </font>
    <font>
      <sz val="8"/>
      <name val="Arial"/>
      <family val="2"/>
    </font>
    <font>
      <b/>
      <sz val="8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Arial Baltic"/>
      <family val="2"/>
      <charset val="186"/>
    </font>
    <font>
      <sz val="8"/>
      <name val="Arial Baltic"/>
    </font>
    <font>
      <b/>
      <sz val="8"/>
      <name val="Arial Baltic"/>
      <family val="2"/>
      <charset val="186"/>
    </font>
    <font>
      <b/>
      <sz val="8"/>
      <name val="Arial Baltic"/>
    </font>
    <font>
      <sz val="7"/>
      <name val="Arial Narrow"/>
      <family val="2"/>
    </font>
    <font>
      <b/>
      <sz val="7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 Baltic"/>
    </font>
    <font>
      <sz val="5"/>
      <name val="Book Antiqua"/>
      <family val="1"/>
    </font>
    <font>
      <sz val="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Book Antiqua"/>
      <family val="1"/>
    </font>
    <font>
      <b/>
      <sz val="7"/>
      <name val="Arial Baltic"/>
    </font>
    <font>
      <sz val="7"/>
      <name val="Arial Baltic"/>
      <family val="2"/>
      <charset val="186"/>
    </font>
    <font>
      <sz val="7"/>
      <name val="Arial Baltic"/>
    </font>
    <font>
      <sz val="7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sz val="12"/>
      <name val="Arial Black"/>
      <family val="2"/>
    </font>
    <font>
      <sz val="11"/>
      <name val="Arial Black"/>
      <family val="2"/>
    </font>
    <font>
      <sz val="14"/>
      <name val="Arial Black"/>
      <family val="2"/>
    </font>
    <font>
      <b/>
      <sz val="8"/>
      <color rgb="FF002060"/>
      <name val="Arial Baltic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3"/>
      <name val="Arial Black"/>
      <family val="2"/>
    </font>
    <font>
      <sz val="14"/>
      <name val="Arial"/>
      <family val="2"/>
    </font>
    <font>
      <b/>
      <sz val="13"/>
      <name val="Arial"/>
      <family val="2"/>
    </font>
    <font>
      <b/>
      <sz val="10"/>
      <color rgb="FF7030A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3" fontId="3" fillId="0" borderId="1" xfId="0" applyNumberFormat="1" applyFont="1" applyBorder="1"/>
    <xf numFmtId="0" fontId="9" fillId="0" borderId="0" xfId="0" applyFont="1"/>
    <xf numFmtId="3" fontId="3" fillId="0" borderId="0" xfId="0" applyNumberFormat="1" applyFont="1" applyAlignment="1">
      <alignment horizontal="right"/>
    </xf>
    <xf numFmtId="3" fontId="10" fillId="0" borderId="1" xfId="0" applyNumberFormat="1" applyFont="1" applyBorder="1"/>
    <xf numFmtId="3" fontId="9" fillId="0" borderId="0" xfId="0" applyNumberFormat="1" applyFont="1"/>
    <xf numFmtId="3" fontId="5" fillId="0" borderId="1" xfId="0" applyNumberFormat="1" applyFont="1" applyBorder="1"/>
    <xf numFmtId="0" fontId="11" fillId="0" borderId="0" xfId="0" applyFont="1"/>
    <xf numFmtId="166" fontId="11" fillId="0" borderId="0" xfId="0" applyNumberFormat="1" applyFont="1"/>
    <xf numFmtId="165" fontId="11" fillId="0" borderId="0" xfId="0" applyNumberFormat="1" applyFont="1"/>
    <xf numFmtId="3" fontId="11" fillId="0" borderId="0" xfId="0" applyNumberFormat="1" applyFont="1"/>
    <xf numFmtId="3" fontId="12" fillId="2" borderId="2" xfId="0" applyNumberFormat="1" applyFont="1" applyFill="1" applyBorder="1"/>
    <xf numFmtId="0" fontId="15" fillId="0" borderId="0" xfId="0" applyFont="1" applyProtection="1"/>
    <xf numFmtId="0" fontId="8" fillId="0" borderId="3" xfId="0" applyFont="1" applyBorder="1" applyAlignment="1" applyProtection="1">
      <alignment horizontal="left" vertical="top"/>
    </xf>
    <xf numFmtId="0" fontId="4" fillId="0" borderId="4" xfId="0" applyFont="1" applyBorder="1" applyProtection="1"/>
    <xf numFmtId="0" fontId="4" fillId="0" borderId="5" xfId="0" applyFont="1" applyBorder="1" applyProtection="1"/>
    <xf numFmtId="3" fontId="4" fillId="0" borderId="0" xfId="0" applyNumberFormat="1" applyFont="1" applyBorder="1" applyAlignment="1" applyProtection="1">
      <alignment horizontal="center"/>
    </xf>
    <xf numFmtId="3" fontId="4" fillId="0" borderId="6" xfId="0" applyNumberFormat="1" applyFont="1" applyBorder="1" applyAlignment="1" applyProtection="1">
      <alignment horizontal="center"/>
    </xf>
    <xf numFmtId="3" fontId="4" fillId="0" borderId="7" xfId="0" applyNumberFormat="1" applyFont="1" applyBorder="1" applyAlignment="1" applyProtection="1">
      <alignment horizontal="center"/>
    </xf>
    <xf numFmtId="0" fontId="9" fillId="0" borderId="0" xfId="0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0" fontId="18" fillId="0" borderId="1" xfId="0" applyFont="1" applyBorder="1" applyAlignment="1" applyProtection="1">
      <alignment horizontal="center"/>
    </xf>
    <xf numFmtId="3" fontId="7" fillId="0" borderId="8" xfId="0" applyNumberFormat="1" applyFont="1" applyFill="1" applyBorder="1" applyProtection="1"/>
    <xf numFmtId="0" fontId="7" fillId="3" borderId="0" xfId="0" applyFont="1" applyFill="1" applyBorder="1" applyProtection="1"/>
    <xf numFmtId="3" fontId="17" fillId="3" borderId="0" xfId="0" applyNumberFormat="1" applyFont="1" applyFill="1" applyBorder="1" applyProtection="1"/>
    <xf numFmtId="3" fontId="7" fillId="0" borderId="0" xfId="0" applyNumberFormat="1" applyFont="1" applyBorder="1" applyProtection="1"/>
    <xf numFmtId="3" fontId="7" fillId="0" borderId="0" xfId="0" applyNumberFormat="1" applyFont="1" applyProtection="1"/>
    <xf numFmtId="0" fontId="7" fillId="0" borderId="0" xfId="0" applyFont="1" applyBorder="1" applyProtection="1"/>
    <xf numFmtId="164" fontId="17" fillId="0" borderId="0" xfId="0" applyNumberFormat="1" applyFont="1" applyBorder="1" applyProtection="1"/>
    <xf numFmtId="0" fontId="20" fillId="0" borderId="0" xfId="0" applyFont="1" applyProtection="1"/>
    <xf numFmtId="0" fontId="9" fillId="0" borderId="0" xfId="0" applyFont="1" applyAlignment="1">
      <alignment horizontal="justify" vertical="top" wrapText="1"/>
    </xf>
    <xf numFmtId="3" fontId="7" fillId="0" borderId="1" xfId="0" applyNumberFormat="1" applyFont="1" applyFill="1" applyBorder="1" applyProtection="1"/>
    <xf numFmtId="10" fontId="18" fillId="0" borderId="1" xfId="0" applyNumberFormat="1" applyFont="1" applyFill="1" applyBorder="1" applyProtection="1"/>
    <xf numFmtId="3" fontId="18" fillId="0" borderId="1" xfId="0" applyNumberFormat="1" applyFont="1" applyFill="1" applyBorder="1" applyProtection="1"/>
    <xf numFmtId="0" fontId="7" fillId="0" borderId="0" xfId="0" applyFont="1" applyFill="1" applyBorder="1" applyProtection="1"/>
    <xf numFmtId="3" fontId="17" fillId="0" borderId="0" xfId="0" applyNumberFormat="1" applyFont="1" applyFill="1" applyBorder="1" applyProtection="1"/>
    <xf numFmtId="3" fontId="17" fillId="0" borderId="1" xfId="0" applyNumberFormat="1" applyFont="1" applyFill="1" applyBorder="1" applyAlignment="1" applyProtection="1">
      <alignment horizontal="center" vertical="center"/>
    </xf>
    <xf numFmtId="164" fontId="17" fillId="0" borderId="1" xfId="0" applyNumberFormat="1" applyFont="1" applyFill="1" applyBorder="1" applyAlignment="1" applyProtection="1">
      <alignment horizontal="right"/>
    </xf>
    <xf numFmtId="3" fontId="0" fillId="0" borderId="0" xfId="0" applyNumberFormat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6" fillId="0" borderId="1" xfId="0" applyFont="1" applyBorder="1"/>
    <xf numFmtId="0" fontId="6" fillId="0" borderId="0" xfId="0" applyFont="1" applyAlignment="1">
      <alignment vertical="top" wrapText="1"/>
    </xf>
    <xf numFmtId="0" fontId="0" fillId="0" borderId="0" xfId="0" applyBorder="1"/>
    <xf numFmtId="0" fontId="4" fillId="0" borderId="0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10" fontId="0" fillId="0" borderId="1" xfId="0" applyNumberFormat="1" applyBorder="1"/>
    <xf numFmtId="167" fontId="21" fillId="0" borderId="0" xfId="0" applyNumberFormat="1" applyFont="1" applyAlignment="1">
      <alignment horizontal="justify" vertical="justify" wrapText="1"/>
    </xf>
    <xf numFmtId="0" fontId="23" fillId="0" borderId="0" xfId="0" applyFont="1" applyAlignment="1">
      <alignment horizontal="right" vertical="justify" wrapText="1"/>
    </xf>
    <xf numFmtId="167" fontId="17" fillId="4" borderId="1" xfId="0" applyNumberFormat="1" applyFont="1" applyFill="1" applyBorder="1" applyProtection="1">
      <protection locked="0"/>
    </xf>
    <xf numFmtId="3" fontId="17" fillId="4" borderId="1" xfId="0" applyNumberFormat="1" applyFont="1" applyFill="1" applyBorder="1" applyAlignment="1" applyProtection="1">
      <alignment horizontal="right"/>
      <protection locked="0"/>
    </xf>
    <xf numFmtId="3" fontId="5" fillId="4" borderId="1" xfId="0" applyNumberFormat="1" applyFont="1" applyFill="1" applyBorder="1"/>
    <xf numFmtId="3" fontId="18" fillId="4" borderId="1" xfId="0" applyNumberFormat="1" applyFont="1" applyFill="1" applyBorder="1" applyProtection="1">
      <protection locked="0"/>
    </xf>
    <xf numFmtId="3" fontId="18" fillId="0" borderId="1" xfId="0" applyNumberFormat="1" applyFont="1" applyFill="1" applyBorder="1" applyAlignment="1" applyProtection="1">
      <alignment horizontal="right"/>
    </xf>
    <xf numFmtId="164" fontId="18" fillId="0" borderId="1" xfId="0" applyNumberFormat="1" applyFont="1" applyFill="1" applyBorder="1" applyProtection="1"/>
    <xf numFmtId="164" fontId="18" fillId="0" borderId="1" xfId="0" applyNumberFormat="1" applyFont="1" applyFill="1" applyBorder="1" applyAlignment="1" applyProtection="1">
      <alignment horizontal="right"/>
    </xf>
    <xf numFmtId="0" fontId="18" fillId="5" borderId="0" xfId="0" applyFont="1" applyFill="1" applyProtection="1">
      <protection locked="0"/>
    </xf>
    <xf numFmtId="3" fontId="18" fillId="5" borderId="0" xfId="0" applyNumberFormat="1" applyFont="1" applyFill="1" applyAlignment="1" applyProtection="1">
      <alignment horizontal="left"/>
      <protection locked="0"/>
    </xf>
    <xf numFmtId="169" fontId="13" fillId="0" borderId="1" xfId="0" applyNumberFormat="1" applyFont="1" applyBorder="1"/>
    <xf numFmtId="0" fontId="5" fillId="0" borderId="0" xfId="0" applyFont="1"/>
    <xf numFmtId="10" fontId="11" fillId="0" borderId="0" xfId="0" applyNumberFormat="1" applyFont="1"/>
    <xf numFmtId="170" fontId="11" fillId="0" borderId="0" xfId="0" applyNumberFormat="1" applyFont="1"/>
    <xf numFmtId="14" fontId="7" fillId="0" borderId="0" xfId="0" applyNumberFormat="1" applyFont="1" applyProtection="1"/>
    <xf numFmtId="0" fontId="25" fillId="0" borderId="0" xfId="0" applyFont="1" applyAlignment="1" applyProtection="1">
      <alignment horizontal="center" vertical="top"/>
    </xf>
    <xf numFmtId="14" fontId="18" fillId="0" borderId="10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3" fontId="16" fillId="4" borderId="1" xfId="0" applyNumberFormat="1" applyFont="1" applyFill="1" applyBorder="1" applyProtection="1">
      <protection locked="0"/>
    </xf>
    <xf numFmtId="3" fontId="18" fillId="0" borderId="11" xfId="0" applyNumberFormat="1" applyFont="1" applyFill="1" applyBorder="1" applyAlignment="1" applyProtection="1">
      <alignment horizontal="right"/>
    </xf>
    <xf numFmtId="167" fontId="18" fillId="5" borderId="1" xfId="0" applyNumberFormat="1" applyFont="1" applyFill="1" applyBorder="1" applyAlignment="1" applyProtection="1">
      <alignment horizontal="right"/>
    </xf>
    <xf numFmtId="167" fontId="24" fillId="0" borderId="1" xfId="0" applyNumberFormat="1" applyFont="1" applyFill="1" applyBorder="1" applyAlignment="1" applyProtection="1">
      <alignment horizontal="right"/>
    </xf>
    <xf numFmtId="0" fontId="7" fillId="0" borderId="12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3" fontId="16" fillId="4" borderId="11" xfId="0" applyNumberFormat="1" applyFont="1" applyFill="1" applyBorder="1" applyProtection="1">
      <protection locked="0"/>
    </xf>
    <xf numFmtId="0" fontId="6" fillId="0" borderId="0" xfId="0" applyFont="1"/>
    <xf numFmtId="0" fontId="7" fillId="0" borderId="13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3" fontId="4" fillId="0" borderId="0" xfId="0" applyNumberFormat="1" applyFont="1" applyBorder="1" applyAlignment="1" applyProtection="1">
      <alignment horizontal="left"/>
    </xf>
    <xf numFmtId="3" fontId="4" fillId="0" borderId="10" xfId="0" applyNumberFormat="1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10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horizontal="left"/>
    </xf>
    <xf numFmtId="10" fontId="9" fillId="6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0" fontId="6" fillId="0" borderId="0" xfId="1"/>
    <xf numFmtId="0" fontId="27" fillId="0" borderId="0" xfId="1" applyFont="1"/>
    <xf numFmtId="0" fontId="27" fillId="0" borderId="0" xfId="1" applyFont="1" applyAlignment="1">
      <alignment horizontal="left"/>
    </xf>
    <xf numFmtId="3" fontId="27" fillId="0" borderId="0" xfId="1" applyNumberFormat="1" applyFont="1" applyAlignment="1">
      <alignment horizontal="left"/>
    </xf>
    <xf numFmtId="0" fontId="28" fillId="0" borderId="0" xfId="1" applyFont="1"/>
    <xf numFmtId="168" fontId="27" fillId="0" borderId="0" xfId="1" applyNumberFormat="1" applyFont="1" applyAlignment="1">
      <alignment horizontal="left"/>
    </xf>
    <xf numFmtId="3" fontId="27" fillId="0" borderId="0" xfId="1" applyNumberFormat="1" applyFont="1" applyAlignment="1">
      <alignment horizontal="center"/>
    </xf>
    <xf numFmtId="3" fontId="27" fillId="0" borderId="0" xfId="1" applyNumberFormat="1" applyFont="1"/>
    <xf numFmtId="3" fontId="27" fillId="0" borderId="0" xfId="1" applyNumberFormat="1" applyFont="1" applyAlignment="1"/>
    <xf numFmtId="0" fontId="27" fillId="0" borderId="0" xfId="1" applyFont="1" applyBorder="1" applyAlignment="1"/>
    <xf numFmtId="3" fontId="27" fillId="0" borderId="0" xfId="1" applyNumberFormat="1" applyFont="1" applyBorder="1" applyAlignment="1"/>
    <xf numFmtId="3" fontId="27" fillId="0" borderId="16" xfId="1" applyNumberFormat="1" applyFont="1" applyBorder="1" applyAlignment="1"/>
    <xf numFmtId="3" fontId="14" fillId="0" borderId="0" xfId="1" applyNumberFormat="1" applyFont="1" applyBorder="1" applyAlignment="1"/>
    <xf numFmtId="0" fontId="14" fillId="0" borderId="0" xfId="1" applyFont="1" applyAlignment="1">
      <alignment horizontal="right"/>
    </xf>
    <xf numFmtId="3" fontId="27" fillId="0" borderId="0" xfId="1" applyNumberFormat="1" applyFont="1" applyBorder="1"/>
    <xf numFmtId="3" fontId="14" fillId="0" borderId="0" xfId="1" applyNumberFormat="1" applyFont="1" applyBorder="1"/>
    <xf numFmtId="0" fontId="14" fillId="0" borderId="0" xfId="1" applyFont="1"/>
    <xf numFmtId="167" fontId="14" fillId="0" borderId="0" xfId="1" applyNumberFormat="1" applyFont="1"/>
    <xf numFmtId="3" fontId="14" fillId="0" borderId="0" xfId="1" applyNumberFormat="1" applyFont="1" applyAlignment="1">
      <alignment horizontal="right"/>
    </xf>
    <xf numFmtId="0" fontId="19" fillId="0" borderId="0" xfId="0" applyFont="1" applyAlignment="1">
      <alignment horizontal="justify" vertical="top" wrapText="1"/>
    </xf>
    <xf numFmtId="0" fontId="4" fillId="0" borderId="8" xfId="0" applyFont="1" applyBorder="1" applyAlignment="1" applyProtection="1">
      <alignment horizontal="center"/>
    </xf>
    <xf numFmtId="9" fontId="9" fillId="0" borderId="0" xfId="2" applyFont="1"/>
    <xf numFmtId="3" fontId="16" fillId="0" borderId="1" xfId="0" applyNumberFormat="1" applyFont="1" applyFill="1" applyBorder="1" applyProtection="1"/>
    <xf numFmtId="3" fontId="16" fillId="4" borderId="1" xfId="0" applyNumberFormat="1" applyFont="1" applyFill="1" applyBorder="1" applyProtection="1"/>
    <xf numFmtId="0" fontId="29" fillId="0" borderId="0" xfId="0" applyFont="1" applyAlignment="1" applyProtection="1">
      <alignment horizontal="left" vertical="top"/>
    </xf>
    <xf numFmtId="171" fontId="30" fillId="5" borderId="0" xfId="0" applyNumberFormat="1" applyFont="1" applyFill="1" applyAlignment="1" applyProtection="1">
      <alignment horizontal="left"/>
      <protection locked="0"/>
    </xf>
    <xf numFmtId="0" fontId="31" fillId="0" borderId="1" xfId="0" applyFont="1" applyBorder="1" applyProtection="1"/>
    <xf numFmtId="3" fontId="7" fillId="0" borderId="1" xfId="0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3" fontId="12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2" fillId="0" borderId="0" xfId="0" applyNumberFormat="1" applyFont="1" applyAlignment="1" applyProtection="1">
      <alignment horizontal="left"/>
    </xf>
    <xf numFmtId="3" fontId="39" fillId="0" borderId="11" xfId="0" applyNumberFormat="1" applyFont="1" applyFill="1" applyBorder="1" applyProtection="1">
      <protection locked="0"/>
    </xf>
    <xf numFmtId="0" fontId="36" fillId="0" borderId="1" xfId="0" applyFont="1" applyBorder="1" applyAlignment="1" applyProtection="1">
      <alignment horizontal="left"/>
    </xf>
    <xf numFmtId="3" fontId="36" fillId="0" borderId="1" xfId="0" applyNumberFormat="1" applyFont="1" applyFill="1" applyBorder="1" applyAlignment="1" applyProtection="1">
      <alignment horizontal="left"/>
    </xf>
    <xf numFmtId="0" fontId="36" fillId="0" borderId="1" xfId="0" applyFont="1" applyFill="1" applyBorder="1" applyAlignment="1" applyProtection="1">
      <alignment horizontal="left"/>
    </xf>
    <xf numFmtId="0" fontId="36" fillId="0" borderId="17" xfId="0" applyFont="1" applyBorder="1" applyAlignment="1" applyProtection="1">
      <alignment horizontal="left"/>
    </xf>
    <xf numFmtId="167" fontId="34" fillId="0" borderId="18" xfId="0" applyNumberFormat="1" applyFont="1" applyBorder="1" applyProtection="1">
      <protection locked="0"/>
    </xf>
    <xf numFmtId="3" fontId="36" fillId="0" borderId="17" xfId="0" applyNumberFormat="1" applyFont="1" applyFill="1" applyBorder="1" applyAlignment="1" applyProtection="1">
      <alignment horizontal="left"/>
    </xf>
    <xf numFmtId="3" fontId="34" fillId="0" borderId="18" xfId="0" applyNumberFormat="1" applyFont="1" applyBorder="1" applyProtection="1">
      <protection locked="0"/>
    </xf>
    <xf numFmtId="0" fontId="35" fillId="0" borderId="17" xfId="0" applyFont="1" applyFill="1" applyBorder="1" applyAlignment="1" applyProtection="1">
      <alignment horizontal="left"/>
    </xf>
    <xf numFmtId="0" fontId="35" fillId="0" borderId="19" xfId="0" applyFont="1" applyBorder="1" applyAlignment="1">
      <alignment horizontal="left"/>
    </xf>
    <xf numFmtId="0" fontId="36" fillId="0" borderId="20" xfId="0" applyFont="1" applyBorder="1" applyAlignment="1">
      <alignment horizontal="left"/>
    </xf>
    <xf numFmtId="164" fontId="36" fillId="7" borderId="21" xfId="0" applyNumberFormat="1" applyFont="1" applyFill="1" applyBorder="1"/>
    <xf numFmtId="0" fontId="36" fillId="0" borderId="22" xfId="0" applyFont="1" applyBorder="1" applyAlignment="1" applyProtection="1"/>
    <xf numFmtId="0" fontId="36" fillId="0" borderId="14" xfId="0" applyFont="1" applyBorder="1" applyAlignment="1" applyProtection="1"/>
    <xf numFmtId="3" fontId="36" fillId="0" borderId="22" xfId="0" applyNumberFormat="1" applyFont="1" applyFill="1" applyBorder="1" applyAlignment="1" applyProtection="1"/>
    <xf numFmtId="3" fontId="36" fillId="0" borderId="14" xfId="0" applyNumberFormat="1" applyFont="1" applyFill="1" applyBorder="1" applyAlignment="1" applyProtection="1"/>
    <xf numFmtId="0" fontId="35" fillId="0" borderId="14" xfId="0" applyFont="1" applyFill="1" applyBorder="1" applyAlignment="1" applyProtection="1"/>
    <xf numFmtId="0" fontId="37" fillId="0" borderId="22" xfId="0" applyFont="1" applyFill="1" applyBorder="1" applyAlignment="1" applyProtection="1"/>
    <xf numFmtId="0" fontId="37" fillId="0" borderId="19" xfId="0" applyFont="1" applyBorder="1" applyAlignment="1">
      <alignment horizontal="left"/>
    </xf>
    <xf numFmtId="172" fontId="34" fillId="0" borderId="18" xfId="0" applyNumberFormat="1" applyFont="1" applyFill="1" applyBorder="1" applyAlignment="1" applyProtection="1"/>
    <xf numFmtId="0" fontId="0" fillId="0" borderId="29" xfId="0" applyBorder="1"/>
    <xf numFmtId="0" fontId="0" fillId="0" borderId="32" xfId="0" applyBorder="1"/>
    <xf numFmtId="0" fontId="9" fillId="0" borderId="31" xfId="0" applyFont="1" applyBorder="1"/>
    <xf numFmtId="0" fontId="9" fillId="0" borderId="33" xfId="0" applyFont="1" applyBorder="1"/>
    <xf numFmtId="0" fontId="0" fillId="0" borderId="34" xfId="0" applyBorder="1"/>
    <xf numFmtId="0" fontId="0" fillId="0" borderId="35" xfId="0" applyBorder="1"/>
    <xf numFmtId="0" fontId="43" fillId="12" borderId="0" xfId="0" applyFont="1" applyFill="1" applyBorder="1"/>
    <xf numFmtId="0" fontId="43" fillId="0" borderId="0" xfId="0" applyFont="1"/>
    <xf numFmtId="0" fontId="43" fillId="12" borderId="9" xfId="0" applyFont="1" applyFill="1" applyBorder="1"/>
    <xf numFmtId="0" fontId="28" fillId="10" borderId="0" xfId="0" applyFont="1" applyFill="1" applyBorder="1"/>
    <xf numFmtId="0" fontId="27" fillId="12" borderId="36" xfId="0" applyFont="1" applyFill="1" applyBorder="1"/>
    <xf numFmtId="0" fontId="44" fillId="10" borderId="31" xfId="0" applyFont="1" applyFill="1" applyBorder="1"/>
    <xf numFmtId="3" fontId="28" fillId="10" borderId="32" xfId="0" applyNumberFormat="1" applyFont="1" applyFill="1" applyBorder="1"/>
    <xf numFmtId="0" fontId="27" fillId="12" borderId="31" xfId="0" applyFont="1" applyFill="1" applyBorder="1"/>
    <xf numFmtId="0" fontId="44" fillId="10" borderId="33" xfId="0" applyFont="1" applyFill="1" applyBorder="1"/>
    <xf numFmtId="0" fontId="44" fillId="10" borderId="34" xfId="0" applyFont="1" applyFill="1" applyBorder="1"/>
    <xf numFmtId="0" fontId="9" fillId="0" borderId="0" xfId="0" applyFont="1" applyBorder="1"/>
    <xf numFmtId="174" fontId="28" fillId="10" borderId="1" xfId="0" applyNumberFormat="1" applyFont="1" applyFill="1" applyBorder="1"/>
    <xf numFmtId="0" fontId="6" fillId="10" borderId="1" xfId="0" applyFont="1" applyFill="1" applyBorder="1"/>
    <xf numFmtId="164" fontId="0" fillId="10" borderId="1" xfId="0" applyNumberFormat="1" applyFill="1" applyBorder="1"/>
    <xf numFmtId="174" fontId="0" fillId="10" borderId="1" xfId="0" applyNumberFormat="1" applyFill="1" applyBorder="1"/>
    <xf numFmtId="0" fontId="28" fillId="10" borderId="1" xfId="0" applyFont="1" applyFill="1" applyBorder="1" applyAlignment="1">
      <alignment horizontal="right"/>
    </xf>
    <xf numFmtId="10" fontId="38" fillId="0" borderId="0" xfId="0" applyNumberFormat="1" applyFont="1" applyFill="1" applyBorder="1" applyAlignment="1" applyProtection="1"/>
    <xf numFmtId="3" fontId="43" fillId="11" borderId="1" xfId="0" applyNumberFormat="1" applyFont="1" applyFill="1" applyBorder="1" applyProtection="1">
      <protection locked="0"/>
    </xf>
    <xf numFmtId="167" fontId="38" fillId="11" borderId="18" xfId="0" applyNumberFormat="1" applyFont="1" applyFill="1" applyBorder="1" applyProtection="1">
      <protection locked="0"/>
    </xf>
    <xf numFmtId="3" fontId="38" fillId="11" borderId="18" xfId="0" applyNumberFormat="1" applyFont="1" applyFill="1" applyBorder="1" applyProtection="1">
      <protection locked="0"/>
    </xf>
    <xf numFmtId="10" fontId="42" fillId="11" borderId="18" xfId="0" applyNumberFormat="1" applyFont="1" applyFill="1" applyBorder="1" applyProtection="1">
      <protection locked="0"/>
    </xf>
    <xf numFmtId="164" fontId="38" fillId="10" borderId="21" xfId="0" applyNumberFormat="1" applyFont="1" applyFill="1" applyBorder="1"/>
    <xf numFmtId="0" fontId="9" fillId="0" borderId="28" xfId="0" applyFont="1" applyBorder="1"/>
    <xf numFmtId="0" fontId="0" fillId="0" borderId="30" xfId="0" applyBorder="1"/>
    <xf numFmtId="2" fontId="12" fillId="0" borderId="1" xfId="0" applyNumberFormat="1" applyFont="1" applyBorder="1" applyAlignment="1">
      <alignment horizontal="center" wrapText="1"/>
    </xf>
    <xf numFmtId="3" fontId="6" fillId="6" borderId="1" xfId="0" applyNumberFormat="1" applyFont="1" applyFill="1" applyBorder="1" applyAlignment="1" applyProtection="1">
      <protection locked="0"/>
    </xf>
    <xf numFmtId="0" fontId="14" fillId="0" borderId="0" xfId="1" applyFont="1" applyAlignment="1">
      <alignment horizontal="left"/>
    </xf>
    <xf numFmtId="173" fontId="27" fillId="0" borderId="0" xfId="1" applyNumberFormat="1" applyFont="1" applyAlignment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17" fillId="0" borderId="1" xfId="0" applyFont="1" applyBorder="1" applyAlignment="1" applyProtection="1">
      <alignment horizontal="center" vertical="center" wrapText="1"/>
    </xf>
    <xf numFmtId="0" fontId="19" fillId="0" borderId="0" xfId="0" applyFont="1" applyAlignment="1">
      <alignment horizontal="left" wrapText="1"/>
    </xf>
    <xf numFmtId="0" fontId="40" fillId="9" borderId="25" xfId="0" applyFont="1" applyFill="1" applyBorder="1" applyAlignment="1" applyProtection="1">
      <alignment horizontal="center"/>
    </xf>
    <xf numFmtId="0" fontId="40" fillId="9" borderId="26" xfId="0" applyFont="1" applyFill="1" applyBorder="1" applyAlignment="1" applyProtection="1">
      <alignment horizontal="center"/>
    </xf>
    <xf numFmtId="0" fontId="40" fillId="9" borderId="27" xfId="0" applyFont="1" applyFill="1" applyBorder="1" applyAlignment="1" applyProtection="1">
      <alignment horizontal="center"/>
    </xf>
    <xf numFmtId="3" fontId="36" fillId="8" borderId="22" xfId="0" applyNumberFormat="1" applyFont="1" applyFill="1" applyBorder="1" applyAlignment="1" applyProtection="1">
      <alignment horizontal="center"/>
    </xf>
    <xf numFmtId="3" fontId="36" fillId="8" borderId="9" xfId="0" applyNumberFormat="1" applyFont="1" applyFill="1" applyBorder="1" applyAlignment="1" applyProtection="1">
      <alignment horizontal="center"/>
    </xf>
    <xf numFmtId="3" fontId="36" fillId="8" borderId="23" xfId="0" applyNumberFormat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/>
    </xf>
    <xf numFmtId="0" fontId="19" fillId="0" borderId="0" xfId="0" applyFont="1" applyAlignment="1">
      <alignment horizontal="justify" vertical="top" wrapText="1"/>
    </xf>
    <xf numFmtId="0" fontId="9" fillId="0" borderId="4" xfId="0" applyFont="1" applyBorder="1" applyAlignment="1">
      <alignment horizontal="center"/>
    </xf>
    <xf numFmtId="0" fontId="1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7" fillId="0" borderId="1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right"/>
    </xf>
    <xf numFmtId="0" fontId="32" fillId="0" borderId="13" xfId="0" applyFont="1" applyBorder="1" applyAlignment="1" applyProtection="1">
      <alignment horizontal="right"/>
    </xf>
    <xf numFmtId="0" fontId="33" fillId="0" borderId="14" xfId="0" applyFont="1" applyBorder="1" applyAlignment="1">
      <alignment horizontal="right"/>
    </xf>
    <xf numFmtId="0" fontId="31" fillId="0" borderId="10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18" fillId="0" borderId="1" xfId="0" applyFont="1" applyBorder="1" applyAlignment="1" applyProtection="1">
      <alignment horizontal="right"/>
    </xf>
    <xf numFmtId="0" fontId="18" fillId="0" borderId="13" xfId="0" applyFont="1" applyFill="1" applyBorder="1" applyAlignment="1" applyProtection="1">
      <alignment horizontal="left"/>
    </xf>
    <xf numFmtId="0" fontId="18" fillId="0" borderId="14" xfId="0" applyFont="1" applyFill="1" applyBorder="1" applyAlignment="1" applyProtection="1">
      <alignment horizontal="left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/>
    </xf>
    <xf numFmtId="0" fontId="18" fillId="0" borderId="9" xfId="0" applyFont="1" applyFill="1" applyBorder="1" applyAlignment="1" applyProtection="1">
      <alignment horizontal="center"/>
    </xf>
    <xf numFmtId="0" fontId="18" fillId="0" borderId="14" xfId="0" applyFont="1" applyFill="1" applyBorder="1" applyAlignment="1" applyProtection="1">
      <alignment horizontal="center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justify" vertical="justify" wrapText="1"/>
    </xf>
    <xf numFmtId="0" fontId="9" fillId="0" borderId="0" xfId="0" applyFont="1" applyBorder="1" applyAlignment="1">
      <alignment horizontal="center"/>
    </xf>
    <xf numFmtId="0" fontId="41" fillId="9" borderId="25" xfId="0" applyFont="1" applyFill="1" applyBorder="1" applyAlignment="1" applyProtection="1">
      <alignment horizontal="center"/>
    </xf>
    <xf numFmtId="0" fontId="41" fillId="9" borderId="26" xfId="0" applyFont="1" applyFill="1" applyBorder="1" applyAlignment="1" applyProtection="1">
      <alignment horizontal="center"/>
    </xf>
    <xf numFmtId="0" fontId="41" fillId="9" borderId="27" xfId="0" applyFont="1" applyFill="1" applyBorder="1" applyAlignment="1" applyProtection="1">
      <alignment horizontal="center"/>
    </xf>
    <xf numFmtId="0" fontId="14" fillId="10" borderId="28" xfId="0" applyFont="1" applyFill="1" applyBorder="1" applyAlignment="1">
      <alignment horizontal="center"/>
    </xf>
    <xf numFmtId="0" fontId="14" fillId="10" borderId="29" xfId="0" applyFont="1" applyFill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45" fillId="0" borderId="0" xfId="0" applyFont="1" applyFill="1" applyBorder="1"/>
    <xf numFmtId="0" fontId="45" fillId="0" borderId="0" xfId="0" applyFont="1"/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45"/>
  <sheetViews>
    <sheetView windowProtection="1" workbookViewId="0">
      <selection activeCell="F11" sqref="F11"/>
    </sheetView>
  </sheetViews>
  <sheetFormatPr baseColWidth="10" defaultRowHeight="12.75"/>
  <cols>
    <col min="1" max="1" width="4.5703125" style="94" customWidth="1"/>
    <col min="2" max="2" width="30.42578125" style="94" customWidth="1"/>
    <col min="3" max="3" width="12.28515625" style="94" customWidth="1"/>
    <col min="4" max="4" width="4.7109375" style="94" customWidth="1"/>
    <col min="5" max="5" width="5.5703125" style="94" customWidth="1"/>
    <col min="6" max="6" width="16.140625" style="94" customWidth="1"/>
    <col min="7" max="7" width="9.5703125" style="94" customWidth="1"/>
    <col min="8" max="8" width="14" style="94" customWidth="1"/>
    <col min="9" max="16384" width="11.42578125" style="94"/>
  </cols>
  <sheetData>
    <row r="1" spans="1:8" ht="15">
      <c r="A1" s="95"/>
      <c r="B1" s="95"/>
      <c r="C1" s="95"/>
      <c r="D1" s="95"/>
      <c r="E1" s="95"/>
      <c r="F1" s="95"/>
      <c r="G1" s="95"/>
      <c r="H1" s="95"/>
    </row>
    <row r="2" spans="1:8" ht="15">
      <c r="A2" s="95"/>
      <c r="B2" s="96"/>
      <c r="C2" s="95"/>
      <c r="D2" s="95"/>
      <c r="E2" s="95"/>
      <c r="F2" s="95"/>
      <c r="G2" s="95"/>
      <c r="H2" s="95"/>
    </row>
    <row r="3" spans="1:8" ht="15">
      <c r="A3" s="95" t="s">
        <v>47</v>
      </c>
      <c r="B3" s="97"/>
      <c r="C3" s="95"/>
      <c r="D3" s="95"/>
      <c r="E3" s="95"/>
      <c r="F3" s="95"/>
      <c r="G3" s="95"/>
      <c r="H3" s="95"/>
    </row>
    <row r="4" spans="1:8" ht="18">
      <c r="A4" s="98" t="s">
        <v>9</v>
      </c>
      <c r="B4" s="99"/>
      <c r="C4" s="95"/>
      <c r="D4" s="95"/>
      <c r="E4" s="95"/>
      <c r="F4" s="95"/>
      <c r="G4" s="95"/>
      <c r="H4" s="95"/>
    </row>
    <row r="5" spans="1:8" ht="15">
      <c r="A5" s="95" t="s">
        <v>50</v>
      </c>
      <c r="B5" s="95"/>
      <c r="C5" s="95"/>
      <c r="D5" s="95"/>
      <c r="E5" s="95"/>
      <c r="F5" s="95"/>
      <c r="G5" s="95"/>
      <c r="H5" s="95"/>
    </row>
    <row r="6" spans="1:8" ht="15">
      <c r="A6" s="95" t="s">
        <v>48</v>
      </c>
      <c r="B6" s="95"/>
      <c r="C6" s="95"/>
      <c r="D6" s="95"/>
      <c r="E6" s="95"/>
      <c r="F6" s="95"/>
      <c r="G6" s="95"/>
      <c r="H6" s="95"/>
    </row>
    <row r="7" spans="1:8" ht="15">
      <c r="A7" s="95"/>
      <c r="B7" s="95"/>
      <c r="C7" s="95"/>
      <c r="D7" s="95"/>
      <c r="E7" s="95"/>
      <c r="F7" s="95"/>
      <c r="G7" s="95"/>
      <c r="H7" s="95"/>
    </row>
    <row r="8" spans="1:8" ht="15">
      <c r="A8" s="95"/>
      <c r="B8" s="95"/>
      <c r="C8" s="95"/>
      <c r="D8" s="95"/>
      <c r="E8" s="95"/>
      <c r="F8" s="95"/>
      <c r="G8" s="95"/>
      <c r="H8" s="95"/>
    </row>
    <row r="9" spans="1:8" ht="15">
      <c r="A9" s="95"/>
      <c r="B9" s="95"/>
      <c r="C9" s="95"/>
      <c r="D9" s="95"/>
      <c r="E9" s="95"/>
      <c r="F9" s="95"/>
      <c r="G9" s="95"/>
      <c r="H9" s="95"/>
    </row>
    <row r="10" spans="1:8" ht="15">
      <c r="A10" s="95"/>
      <c r="B10" s="95"/>
      <c r="C10" s="95"/>
      <c r="D10" s="95"/>
      <c r="E10" s="95"/>
      <c r="F10" s="95"/>
      <c r="G10" s="95"/>
      <c r="H10" s="95"/>
    </row>
    <row r="11" spans="1:8" ht="15">
      <c r="A11" s="95" t="s">
        <v>51</v>
      </c>
      <c r="B11" s="95"/>
      <c r="C11" s="95"/>
      <c r="D11" s="95"/>
      <c r="E11" s="95"/>
      <c r="F11" s="95"/>
      <c r="G11" s="95"/>
      <c r="H11" s="95"/>
    </row>
    <row r="12" spans="1:8" ht="15">
      <c r="A12" s="95"/>
      <c r="B12" s="95"/>
      <c r="C12" s="95"/>
      <c r="D12" s="95"/>
      <c r="E12" s="95"/>
      <c r="F12" s="95"/>
      <c r="G12" s="95"/>
      <c r="H12" s="95"/>
    </row>
    <row r="13" spans="1:8" ht="15">
      <c r="A13" s="95"/>
      <c r="B13" s="95"/>
      <c r="C13" s="95"/>
      <c r="D13" s="95"/>
      <c r="E13" s="95"/>
      <c r="F13" s="95"/>
      <c r="G13" s="95"/>
      <c r="H13" s="95"/>
    </row>
    <row r="14" spans="1:8" ht="15.75">
      <c r="A14" s="95" t="s">
        <v>49</v>
      </c>
      <c r="B14" s="178">
        <f>ESTUDIO!C5</f>
        <v>0</v>
      </c>
      <c r="C14" s="178"/>
      <c r="D14" s="95" t="s">
        <v>52</v>
      </c>
      <c r="E14" s="95"/>
      <c r="F14" s="95"/>
      <c r="G14" s="95"/>
      <c r="H14" s="95"/>
    </row>
    <row r="15" spans="1:8" ht="15">
      <c r="A15" s="95" t="s">
        <v>53</v>
      </c>
      <c r="B15" s="100">
        <f>ESTUDIO!C6</f>
        <v>0</v>
      </c>
      <c r="C15" s="95" t="s">
        <v>54</v>
      </c>
      <c r="D15" s="95"/>
      <c r="E15" s="95"/>
      <c r="F15" s="95"/>
      <c r="G15" s="95"/>
      <c r="H15" s="95"/>
    </row>
    <row r="16" spans="1:8" ht="15">
      <c r="A16" s="95" t="s">
        <v>55</v>
      </c>
      <c r="B16" s="95"/>
      <c r="C16" s="101">
        <f>ESTUDIO!D38</f>
        <v>3000000</v>
      </c>
      <c r="D16" s="95" t="s">
        <v>56</v>
      </c>
      <c r="E16" s="100">
        <f>ESTUDIO!D39</f>
        <v>72</v>
      </c>
      <c r="F16" s="95" t="s">
        <v>57</v>
      </c>
      <c r="G16" s="95"/>
      <c r="H16" s="97">
        <f>ESTUDIO!D44</f>
        <v>63500</v>
      </c>
    </row>
    <row r="17" spans="1:8" ht="15">
      <c r="A17" s="95" t="s">
        <v>75</v>
      </c>
      <c r="B17" s="95"/>
      <c r="C17" s="95"/>
      <c r="D17" s="95"/>
      <c r="E17" s="95"/>
      <c r="F17" s="95"/>
      <c r="G17" s="97">
        <f>ESTUDIO!D45</f>
        <v>0</v>
      </c>
      <c r="H17" s="95" t="s">
        <v>58</v>
      </c>
    </row>
    <row r="18" spans="1:8" ht="15">
      <c r="A18" s="95" t="s">
        <v>59</v>
      </c>
      <c r="B18" s="95"/>
      <c r="C18" s="95"/>
      <c r="D18" s="95"/>
      <c r="E18" s="95"/>
      <c r="F18" s="97">
        <f>ESTUDIO!D46</f>
        <v>0</v>
      </c>
      <c r="G18" s="97"/>
      <c r="H18" s="95"/>
    </row>
    <row r="19" spans="1:8" ht="15">
      <c r="A19" s="95"/>
      <c r="B19" s="95"/>
      <c r="C19" s="95"/>
      <c r="D19" s="95"/>
      <c r="E19" s="95"/>
      <c r="F19" s="95"/>
      <c r="G19" s="97"/>
      <c r="H19" s="95"/>
    </row>
    <row r="20" spans="1:8" ht="15">
      <c r="A20" s="95"/>
      <c r="B20" s="95" t="s">
        <v>60</v>
      </c>
      <c r="C20" s="95"/>
      <c r="E20" s="102"/>
      <c r="F20" s="102">
        <f>C16</f>
        <v>3000000</v>
      </c>
      <c r="G20" s="97"/>
      <c r="H20" s="95"/>
    </row>
    <row r="21" spans="1:8" ht="15">
      <c r="A21" s="95"/>
      <c r="B21" s="95" t="s">
        <v>61</v>
      </c>
      <c r="C21" s="95"/>
      <c r="D21" s="95"/>
      <c r="E21" s="95"/>
      <c r="F21" s="101">
        <f>E16</f>
        <v>72</v>
      </c>
      <c r="G21" s="97"/>
      <c r="H21" s="95"/>
    </row>
    <row r="22" spans="1:8" ht="15">
      <c r="A22" s="95"/>
      <c r="B22" s="95" t="s">
        <v>62</v>
      </c>
      <c r="C22" s="95"/>
      <c r="E22" s="103"/>
      <c r="F22" s="104">
        <f>H16</f>
        <v>63500</v>
      </c>
      <c r="G22" s="97"/>
      <c r="H22" s="95"/>
    </row>
    <row r="23" spans="1:8" ht="15">
      <c r="A23" s="95"/>
      <c r="B23" s="95" t="s">
        <v>63</v>
      </c>
      <c r="C23" s="95"/>
      <c r="E23" s="103"/>
      <c r="F23" s="104">
        <f>G17</f>
        <v>0</v>
      </c>
      <c r="G23" s="97"/>
      <c r="H23" s="95"/>
    </row>
    <row r="24" spans="1:8" ht="15.75" thickBot="1">
      <c r="A24" s="95"/>
      <c r="B24" s="95" t="s">
        <v>64</v>
      </c>
      <c r="C24" s="95"/>
      <c r="E24" s="103"/>
      <c r="F24" s="105">
        <f>F18</f>
        <v>0</v>
      </c>
      <c r="G24" s="97"/>
      <c r="H24" s="95"/>
    </row>
    <row r="25" spans="1:8" ht="16.5" thickTop="1">
      <c r="A25" s="95"/>
      <c r="B25" s="95"/>
      <c r="C25" s="95" t="s">
        <v>65</v>
      </c>
      <c r="E25" s="103"/>
      <c r="F25" s="106">
        <f>F22+F23+F24</f>
        <v>63500</v>
      </c>
      <c r="G25" s="97"/>
      <c r="H25" s="95"/>
    </row>
    <row r="26" spans="1:8" ht="15.75">
      <c r="A26" s="95"/>
      <c r="B26" s="95" t="s">
        <v>66</v>
      </c>
      <c r="C26" s="95"/>
      <c r="D26" s="95"/>
      <c r="E26" s="107" t="s">
        <v>67</v>
      </c>
      <c r="F26" s="108">
        <v>44000</v>
      </c>
      <c r="G26" s="97"/>
      <c r="H26" s="95"/>
    </row>
    <row r="27" spans="1:8" ht="15.75">
      <c r="A27" s="95"/>
      <c r="B27" s="95" t="s">
        <v>68</v>
      </c>
      <c r="C27" s="95"/>
      <c r="D27" s="95"/>
      <c r="E27" s="107" t="s">
        <v>67</v>
      </c>
      <c r="F27" s="109">
        <f>F25-F26</f>
        <v>19500</v>
      </c>
      <c r="G27" s="97"/>
      <c r="H27" s="95"/>
    </row>
    <row r="28" spans="1:8" ht="15.75">
      <c r="A28" s="95"/>
      <c r="B28" s="110"/>
      <c r="C28" s="95"/>
      <c r="D28" s="95"/>
      <c r="E28" s="95"/>
      <c r="F28" s="111"/>
      <c r="G28" s="97"/>
      <c r="H28" s="95"/>
    </row>
    <row r="29" spans="1:8" ht="15">
      <c r="A29" s="95"/>
      <c r="B29" s="95"/>
      <c r="C29" s="95"/>
      <c r="D29" s="95"/>
      <c r="E29" s="95"/>
      <c r="F29" s="95"/>
      <c r="G29" s="97"/>
      <c r="H29" s="95"/>
    </row>
    <row r="30" spans="1:8" ht="15">
      <c r="A30" s="95"/>
      <c r="B30" s="95"/>
      <c r="C30" s="95"/>
      <c r="D30" s="95"/>
      <c r="E30" s="95"/>
      <c r="F30" s="95"/>
      <c r="G30" s="97"/>
      <c r="H30" s="95"/>
    </row>
    <row r="31" spans="1:8" ht="15">
      <c r="A31" s="95"/>
      <c r="B31" s="95"/>
      <c r="C31" s="95"/>
      <c r="D31" s="95"/>
      <c r="E31" s="95"/>
      <c r="F31" s="95"/>
      <c r="G31" s="97"/>
      <c r="H31" s="95"/>
    </row>
    <row r="32" spans="1:8" ht="15.75">
      <c r="A32" s="95" t="s">
        <v>69</v>
      </c>
      <c r="B32" s="95"/>
      <c r="C32" s="95"/>
      <c r="D32" s="101">
        <f>E16</f>
        <v>72</v>
      </c>
      <c r="E32" s="95" t="s">
        <v>70</v>
      </c>
      <c r="F32" s="95"/>
      <c r="G32" s="112">
        <f>F27</f>
        <v>19500</v>
      </c>
      <c r="H32" s="95"/>
    </row>
    <row r="33" spans="1:8" ht="15">
      <c r="A33" s="95"/>
      <c r="B33" s="95" t="s">
        <v>71</v>
      </c>
      <c r="C33" s="95"/>
      <c r="D33" s="95"/>
      <c r="E33" s="95"/>
      <c r="F33" s="95"/>
      <c r="G33" s="97"/>
      <c r="H33" s="95"/>
    </row>
    <row r="34" spans="1:8" ht="15">
      <c r="A34" s="95"/>
      <c r="B34" s="95"/>
      <c r="C34" s="95"/>
      <c r="D34" s="95"/>
      <c r="E34" s="95"/>
      <c r="F34" s="95"/>
      <c r="G34" s="95"/>
      <c r="H34" s="95"/>
    </row>
    <row r="35" spans="1:8" ht="15">
      <c r="A35" s="95"/>
      <c r="B35" s="95"/>
      <c r="C35" s="95"/>
      <c r="D35" s="95"/>
      <c r="E35" s="95"/>
      <c r="F35" s="95"/>
      <c r="G35" s="95"/>
      <c r="H35" s="95"/>
    </row>
    <row r="36" spans="1:8" ht="15">
      <c r="A36" s="95" t="s">
        <v>72</v>
      </c>
      <c r="B36" s="95"/>
      <c r="C36" s="95"/>
      <c r="D36" s="179">
        <f>ESTUDIO!D10</f>
        <v>0</v>
      </c>
      <c r="E36" s="179"/>
      <c r="F36" s="179"/>
      <c r="G36" s="179"/>
      <c r="H36" s="179"/>
    </row>
    <row r="37" spans="1:8" ht="15">
      <c r="A37" s="95"/>
      <c r="B37" s="95"/>
      <c r="C37" s="95"/>
      <c r="D37" s="95"/>
      <c r="E37" s="95"/>
      <c r="F37" s="95"/>
      <c r="G37" s="95"/>
      <c r="H37" s="95"/>
    </row>
    <row r="38" spans="1:8" ht="15">
      <c r="A38" s="95"/>
      <c r="B38" s="95"/>
      <c r="C38" s="95"/>
      <c r="D38" s="95"/>
      <c r="E38" s="95"/>
      <c r="F38" s="95"/>
      <c r="G38" s="95"/>
      <c r="H38" s="95"/>
    </row>
    <row r="39" spans="1:8" ht="15">
      <c r="A39" s="95"/>
      <c r="B39" s="95"/>
      <c r="C39" s="95"/>
      <c r="D39" s="95"/>
      <c r="E39" s="95"/>
      <c r="F39" s="95"/>
      <c r="G39" s="95"/>
      <c r="H39" s="95"/>
    </row>
    <row r="40" spans="1:8" ht="15">
      <c r="A40" s="95"/>
      <c r="B40" s="95"/>
      <c r="C40" s="95"/>
      <c r="D40" s="95"/>
      <c r="E40" s="95"/>
      <c r="F40" s="95"/>
      <c r="G40" s="95"/>
      <c r="H40" s="95"/>
    </row>
    <row r="41" spans="1:8" ht="15">
      <c r="A41" s="95"/>
      <c r="B41" s="95"/>
      <c r="C41" s="95"/>
      <c r="D41" s="95"/>
      <c r="E41" s="95"/>
      <c r="F41" s="95"/>
      <c r="G41" s="95"/>
      <c r="H41" s="95"/>
    </row>
    <row r="42" spans="1:8" ht="15.75">
      <c r="A42" s="110">
        <f>B14</f>
        <v>0</v>
      </c>
      <c r="B42" s="95"/>
      <c r="C42" s="95"/>
      <c r="D42" s="95"/>
      <c r="E42" s="95"/>
      <c r="F42" s="95"/>
      <c r="G42" s="95"/>
      <c r="H42" s="95"/>
    </row>
    <row r="43" spans="1:8" ht="15">
      <c r="A43" s="95" t="s">
        <v>73</v>
      </c>
      <c r="B43" s="97">
        <f>B15</f>
        <v>0</v>
      </c>
      <c r="C43" s="95"/>
      <c r="D43" s="95"/>
      <c r="E43" s="95"/>
      <c r="F43" s="95"/>
      <c r="G43" s="95"/>
      <c r="H43" s="95"/>
    </row>
    <row r="44" spans="1:8" ht="15">
      <c r="A44" s="95" t="s">
        <v>74</v>
      </c>
      <c r="B44" s="95"/>
      <c r="C44" s="95"/>
      <c r="D44" s="95"/>
      <c r="E44" s="95"/>
      <c r="F44" s="95"/>
      <c r="G44" s="95"/>
      <c r="H44" s="95"/>
    </row>
    <row r="45" spans="1:8" ht="15">
      <c r="A45" s="95"/>
      <c r="B45" s="95"/>
      <c r="C45" s="95"/>
      <c r="D45" s="95"/>
      <c r="E45" s="95"/>
      <c r="F45" s="95"/>
      <c r="G45" s="95"/>
      <c r="H45" s="95"/>
    </row>
  </sheetData>
  <customSheetViews>
    <customSheetView guid="{131D95B3-501A-4570-9E79-0833DE95D6EE}">
      <selection activeCell="F11" sqref="F11"/>
      <pageMargins left="0.70866141732283472" right="0.70866141732283472" top="1.1417322834645669" bottom="0.74803149606299213" header="0.31496062992125984" footer="0.31496062992125984"/>
      <printOptions horizontalCentered="1"/>
      <pageSetup paperSize="9" scale="90" orientation="portrait" r:id="rId1"/>
    </customSheetView>
    <customSheetView guid="{0CE4C416-8F7B-420A-B0AA-542E139A7665}">
      <selection activeCell="F11" sqref="F11"/>
      <pageMargins left="0.70866141732283472" right="0.70866141732283472" top="1.1417322834645669" bottom="0.74803149606299213" header="0.31496062992125984" footer="0.31496062992125984"/>
      <printOptions horizontalCentered="1"/>
      <pageSetup paperSize="9" scale="90" orientation="portrait" r:id="rId2"/>
    </customSheetView>
    <customSheetView guid="{9C57F4D4-CD23-40CB-B591-5182657A2772}" showPageBreaks="1" printArea="1">
      <selection activeCell="F11" sqref="F11"/>
      <pageMargins left="0.70866141732283472" right="0.70866141732283472" top="1.1417322834645669" bottom="0.74803149606299213" header="0.31496062992125984" footer="0.31496062992125984"/>
      <printOptions horizontalCentered="1"/>
      <pageSetup paperSize="9" scale="90" orientation="portrait" r:id="rId3"/>
    </customSheetView>
  </customSheetViews>
  <mergeCells count="2">
    <mergeCell ref="B14:C14"/>
    <mergeCell ref="D36:H36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69"/>
  <sheetViews>
    <sheetView windowProtection="1" view="pageBreakPreview" topLeftCell="A25" zoomScale="110" zoomScaleSheetLayoutView="110" workbookViewId="0">
      <selection activeCell="D44" sqref="D44"/>
    </sheetView>
  </sheetViews>
  <sheetFormatPr baseColWidth="10" defaultRowHeight="12.75"/>
  <cols>
    <col min="1" max="1" width="9.85546875" customWidth="1"/>
    <col min="2" max="2" width="39.28515625" customWidth="1"/>
    <col min="3" max="3" width="20.28515625" customWidth="1"/>
    <col min="4" max="4" width="15.140625" customWidth="1"/>
    <col min="5" max="5" width="13.5703125" customWidth="1"/>
    <col min="6" max="6" width="8" bestFit="1" customWidth="1"/>
  </cols>
  <sheetData>
    <row r="1" spans="1:8" ht="20.25" customHeight="1">
      <c r="A1" s="193"/>
      <c r="B1" s="193"/>
      <c r="C1" s="193"/>
      <c r="D1" s="193"/>
      <c r="E1" s="79"/>
      <c r="F1" s="48"/>
    </row>
    <row r="2" spans="1:8" ht="15.75">
      <c r="A2" s="193"/>
      <c r="B2" s="193"/>
      <c r="C2" s="193"/>
      <c r="D2" s="193"/>
    </row>
    <row r="3" spans="1:8">
      <c r="A3" s="200"/>
      <c r="B3" s="200"/>
      <c r="C3" s="200"/>
      <c r="D3" s="125"/>
    </row>
    <row r="4" spans="1:8" ht="6.75" customHeight="1">
      <c r="A4" s="194"/>
      <c r="B4" s="194"/>
      <c r="C4" s="194"/>
      <c r="D4" s="194"/>
    </row>
    <row r="5" spans="1:8" s="2" customFormat="1" ht="11.25">
      <c r="A5" s="19"/>
      <c r="B5" s="20"/>
      <c r="C5" s="61"/>
      <c r="D5" s="67"/>
    </row>
    <row r="6" spans="1:8" s="2" customFormat="1" ht="13.5">
      <c r="A6" s="19"/>
      <c r="B6" s="20"/>
      <c r="C6" s="62"/>
      <c r="E6" s="69"/>
      <c r="F6" s="118"/>
    </row>
    <row r="7" spans="1:8" s="2" customFormat="1" ht="6" customHeight="1">
      <c r="A7" s="19"/>
      <c r="E7" s="83"/>
      <c r="F7" s="82"/>
    </row>
    <row r="8" spans="1:8" s="2" customFormat="1" ht="11.25">
      <c r="A8" s="19"/>
      <c r="B8" s="20"/>
      <c r="C8" s="124"/>
      <c r="D8" s="68"/>
    </row>
    <row r="9" spans="1:8" s="2" customFormat="1" ht="11.25">
      <c r="A9" s="19"/>
      <c r="B9" s="20"/>
      <c r="C9" s="123"/>
      <c r="D9" s="68"/>
    </row>
    <row r="10" spans="1:8" s="2" customFormat="1" ht="11.25">
      <c r="A10" s="19"/>
      <c r="B10" s="199"/>
      <c r="C10" s="199"/>
      <c r="D10" s="119"/>
    </row>
    <row r="11" spans="1:8" s="2" customFormat="1" ht="11.25">
      <c r="A11" s="21"/>
      <c r="B11" s="195" t="s">
        <v>0</v>
      </c>
      <c r="C11" s="195"/>
      <c r="D11" s="21"/>
    </row>
    <row r="12" spans="1:8" s="2" customFormat="1" ht="11.25">
      <c r="A12" s="21"/>
      <c r="B12" s="22" t="s">
        <v>1</v>
      </c>
      <c r="C12" s="22" t="s">
        <v>11</v>
      </c>
      <c r="D12" s="21"/>
    </row>
    <row r="13" spans="1:8" s="2" customFormat="1" ht="11.25">
      <c r="A13" s="21"/>
      <c r="B13" s="120"/>
      <c r="C13" s="57">
        <v>0</v>
      </c>
      <c r="D13" s="23"/>
      <c r="F13" s="92" t="s">
        <v>42</v>
      </c>
      <c r="G13" s="89" t="s">
        <v>1</v>
      </c>
      <c r="H13" s="93" t="s">
        <v>43</v>
      </c>
    </row>
    <row r="14" spans="1:8" s="2" customFormat="1" ht="11.25">
      <c r="A14" s="21"/>
      <c r="B14" s="120"/>
      <c r="C14" s="57"/>
      <c r="D14" s="21"/>
      <c r="F14" s="88">
        <f>D40</f>
        <v>1.2500000000000001E-2</v>
      </c>
      <c r="G14" s="89" t="s">
        <v>44</v>
      </c>
      <c r="H14" s="90">
        <f>H15/12</f>
        <v>1.5696450056771338E-2</v>
      </c>
    </row>
    <row r="15" spans="1:8" s="2" customFormat="1" ht="11.25">
      <c r="A15" s="21"/>
      <c r="B15" s="120"/>
      <c r="C15" s="57">
        <f>SIMULADOR!D3</f>
        <v>3000000</v>
      </c>
      <c r="D15" s="21"/>
      <c r="F15" s="88">
        <f>F14*12</f>
        <v>0.15000000000000002</v>
      </c>
      <c r="G15" s="89" t="s">
        <v>45</v>
      </c>
      <c r="H15" s="90">
        <f>NOMINAL(H16,12)</f>
        <v>0.18835740068125606</v>
      </c>
    </row>
    <row r="16" spans="1:8" s="2" customFormat="1" ht="11.25">
      <c r="A16" s="21"/>
      <c r="B16" s="197" t="s">
        <v>18</v>
      </c>
      <c r="C16" s="198"/>
      <c r="D16" s="74">
        <f>IF(C15&gt;0,0,C14)</f>
        <v>0</v>
      </c>
      <c r="F16" s="88">
        <f>EFFECT(F15,12)</f>
        <v>0.16075451772299854</v>
      </c>
      <c r="G16" s="89" t="s">
        <v>46</v>
      </c>
      <c r="H16" s="91">
        <v>0.20549999999999999</v>
      </c>
    </row>
    <row r="17" spans="1:7" s="2" customFormat="1" ht="11.25">
      <c r="A17" s="21"/>
      <c r="B17" s="196" t="s">
        <v>19</v>
      </c>
      <c r="C17" s="196"/>
      <c r="D17" s="74">
        <f>IF(D16+D18&gt;0,0,C15+C14)</f>
        <v>0</v>
      </c>
    </row>
    <row r="18" spans="1:7" s="2" customFormat="1" ht="11.25">
      <c r="A18" s="21"/>
      <c r="B18" s="196" t="s">
        <v>20</v>
      </c>
      <c r="C18" s="196"/>
      <c r="D18" s="74">
        <f>IF(C14=0,C15,0)</f>
        <v>3000000</v>
      </c>
    </row>
    <row r="19" spans="1:7" s="2" customFormat="1">
      <c r="A19" s="21"/>
      <c r="B19" s="201" t="s">
        <v>21</v>
      </c>
      <c r="C19" s="201"/>
      <c r="D19" s="75">
        <f>D17+D16+D18</f>
        <v>3000000</v>
      </c>
    </row>
    <row r="20" spans="1:7" s="2" customFormat="1" ht="6.75" customHeight="1">
      <c r="A20" s="21"/>
      <c r="B20" s="24"/>
      <c r="C20" s="25"/>
      <c r="D20" s="26"/>
    </row>
    <row r="21" spans="1:7" s="2" customFormat="1" ht="11.25">
      <c r="A21" s="21"/>
      <c r="B21" s="181" t="s">
        <v>7</v>
      </c>
      <c r="C21" s="181"/>
      <c r="D21" s="26"/>
    </row>
    <row r="22" spans="1:7" s="2" customFormat="1" ht="11.25">
      <c r="A22" s="21"/>
      <c r="B22" s="22" t="s">
        <v>1</v>
      </c>
      <c r="C22" s="22" t="s">
        <v>11</v>
      </c>
      <c r="D22" s="26"/>
    </row>
    <row r="23" spans="1:7" s="2" customFormat="1" ht="11.25">
      <c r="A23" s="21"/>
      <c r="B23" s="122" t="s">
        <v>2</v>
      </c>
      <c r="C23" s="54">
        <v>10000000</v>
      </c>
      <c r="D23" s="26"/>
      <c r="G23" s="115"/>
    </row>
    <row r="24" spans="1:7" s="2" customFormat="1" ht="11.25">
      <c r="A24" s="21"/>
      <c r="B24" s="77" t="s">
        <v>31</v>
      </c>
      <c r="C24" s="117">
        <f>IF(C23&lt;(F1*4),C23*8%,C23*9%)</f>
        <v>900000</v>
      </c>
      <c r="D24" s="26"/>
    </row>
    <row r="25" spans="1:7" s="2" customFormat="1" ht="11.25">
      <c r="A25" s="21"/>
      <c r="B25" s="77" t="s">
        <v>32</v>
      </c>
      <c r="C25" s="72">
        <v>0</v>
      </c>
      <c r="D25" s="26"/>
    </row>
    <row r="26" spans="1:7" s="2" customFormat="1" ht="11.25">
      <c r="A26" s="21"/>
      <c r="B26" s="77" t="s">
        <v>28</v>
      </c>
      <c r="C26" s="116">
        <f>(C23-C24-C25)/2</f>
        <v>4550000</v>
      </c>
      <c r="D26" s="26"/>
    </row>
    <row r="27" spans="1:7" s="2" customFormat="1" ht="11.25">
      <c r="A27" s="21"/>
      <c r="B27" s="77" t="s">
        <v>29</v>
      </c>
      <c r="C27" s="126"/>
      <c r="D27" s="26"/>
    </row>
    <row r="28" spans="1:7" s="2" customFormat="1" ht="11.25">
      <c r="A28" s="21"/>
      <c r="B28" s="76" t="s">
        <v>30</v>
      </c>
      <c r="C28" s="126"/>
      <c r="D28" s="26"/>
    </row>
    <row r="29" spans="1:7" s="2" customFormat="1" ht="11.25">
      <c r="A29" s="21"/>
      <c r="B29" s="209" t="s">
        <v>33</v>
      </c>
      <c r="C29" s="78"/>
      <c r="D29" s="26"/>
    </row>
    <row r="30" spans="1:7" s="2" customFormat="1" ht="11.25">
      <c r="A30" s="21"/>
      <c r="B30" s="210"/>
      <c r="C30" s="78"/>
      <c r="D30" s="26"/>
    </row>
    <row r="31" spans="1:7" s="2" customFormat="1" ht="11.25">
      <c r="A31" s="21"/>
      <c r="B31" s="211"/>
      <c r="C31" s="72"/>
      <c r="D31" s="26"/>
      <c r="E31" s="70"/>
    </row>
    <row r="32" spans="1:7" s="2" customFormat="1" ht="11.25">
      <c r="A32" s="21"/>
      <c r="B32" s="121" t="s">
        <v>13</v>
      </c>
      <c r="C32" s="73">
        <f>C26-C27-C28-C29-C30-C31</f>
        <v>4550000</v>
      </c>
      <c r="E32" s="71"/>
      <c r="F32" s="5"/>
    </row>
    <row r="33" spans="1:6" s="2" customFormat="1" ht="11.25">
      <c r="A33" s="21"/>
      <c r="B33" s="32" t="s">
        <v>8</v>
      </c>
      <c r="C33" s="55">
        <f>SIMULADOR!D4</f>
        <v>72</v>
      </c>
      <c r="D33" s="26"/>
      <c r="F33" s="84"/>
    </row>
    <row r="34" spans="1:6" s="2" customFormat="1" ht="11.25" customHeight="1">
      <c r="A34" s="21"/>
      <c r="B34" s="206" t="s">
        <v>10</v>
      </c>
      <c r="C34" s="207"/>
      <c r="D34" s="208"/>
      <c r="E34" s="83"/>
      <c r="F34" s="5"/>
    </row>
    <row r="35" spans="1:6" s="2" customFormat="1" ht="11.25">
      <c r="A35" s="21"/>
      <c r="B35" s="212" t="s">
        <v>34</v>
      </c>
      <c r="C35" s="212"/>
      <c r="D35" s="34">
        <f>D19*10%</f>
        <v>300000</v>
      </c>
    </row>
    <row r="36" spans="1:6" s="2" customFormat="1" ht="5.25" customHeight="1">
      <c r="A36" s="21"/>
      <c r="B36" s="35"/>
      <c r="C36" s="36"/>
      <c r="D36" s="26"/>
    </row>
    <row r="37" spans="1:6" s="2" customFormat="1" ht="11.25">
      <c r="A37" s="21"/>
      <c r="B37" s="204" t="s">
        <v>27</v>
      </c>
      <c r="C37" s="205"/>
      <c r="D37" s="37" t="str">
        <f>IF(factor!G104+C27+C28&gt;C32,"NO CLASIFICA","CLASIFICA")</f>
        <v>CLASIFICA</v>
      </c>
    </row>
    <row r="38" spans="1:6" s="2" customFormat="1" ht="11.25">
      <c r="A38" s="21"/>
      <c r="B38" s="189" t="s">
        <v>35</v>
      </c>
      <c r="C38" s="190"/>
      <c r="D38" s="38">
        <f>IF(D37="CLASIFICA",D19,"0")</f>
        <v>3000000</v>
      </c>
    </row>
    <row r="39" spans="1:6" s="2" customFormat="1" ht="11.25">
      <c r="A39" s="21"/>
      <c r="B39" s="189" t="s">
        <v>14</v>
      </c>
      <c r="C39" s="190"/>
      <c r="D39" s="58">
        <f>IF(D37="NO CLASIFICA",0,C33)</f>
        <v>72</v>
      </c>
    </row>
    <row r="40" spans="1:6" s="2" customFormat="1" ht="11.25">
      <c r="A40" s="21"/>
      <c r="B40" s="189" t="s">
        <v>16</v>
      </c>
      <c r="C40" s="190"/>
      <c r="D40" s="33">
        <f>IF(D37="NO CLASIFICA",0,factor!B2)</f>
        <v>1.2500000000000001E-2</v>
      </c>
    </row>
    <row r="41" spans="1:6" s="2" customFormat="1" ht="11.25">
      <c r="A41" s="21"/>
      <c r="B41" s="189" t="s">
        <v>36</v>
      </c>
      <c r="C41" s="190"/>
      <c r="D41" s="33">
        <f>F16</f>
        <v>0.16075451772299854</v>
      </c>
    </row>
    <row r="42" spans="1:6" s="2" customFormat="1" ht="11.25">
      <c r="A42" s="21"/>
      <c r="B42" s="189" t="s">
        <v>37</v>
      </c>
      <c r="C42" s="190"/>
      <c r="D42" s="59" t="e">
        <f>#REF!</f>
        <v>#REF!</v>
      </c>
    </row>
    <row r="43" spans="1:6" s="2" customFormat="1" ht="11.25">
      <c r="A43" s="21"/>
      <c r="B43" s="189" t="s">
        <v>38</v>
      </c>
      <c r="C43" s="190"/>
      <c r="D43" s="59" t="e">
        <f>IF(D37="NO CLASIFICA",0,#REF!)</f>
        <v>#REF!</v>
      </c>
    </row>
    <row r="44" spans="1:6" s="2" customFormat="1" ht="11.25">
      <c r="A44" s="21"/>
      <c r="B44" s="189" t="s">
        <v>39</v>
      </c>
      <c r="C44" s="190"/>
      <c r="D44" s="60">
        <f>IF(factor!G104+C27+C28&gt;C32,"0",factor!G104)</f>
        <v>63500</v>
      </c>
    </row>
    <row r="45" spans="1:6" s="2" customFormat="1" ht="12.75" customHeight="1">
      <c r="A45" s="21"/>
      <c r="B45" s="189" t="s">
        <v>15</v>
      </c>
      <c r="C45" s="190"/>
      <c r="D45" s="59">
        <f>C27</f>
        <v>0</v>
      </c>
    </row>
    <row r="46" spans="1:6" s="2" customFormat="1" ht="12.75" customHeight="1">
      <c r="A46" s="21"/>
      <c r="B46" s="80" t="s">
        <v>40</v>
      </c>
      <c r="C46" s="81"/>
      <c r="D46" s="59">
        <f>C28</f>
        <v>0</v>
      </c>
    </row>
    <row r="47" spans="1:6" s="2" customFormat="1" ht="11.25">
      <c r="A47" s="21"/>
      <c r="B47" s="202" t="s">
        <v>41</v>
      </c>
      <c r="C47" s="203"/>
      <c r="D47" s="59">
        <f>D44+D45+D46</f>
        <v>63500</v>
      </c>
    </row>
    <row r="48" spans="1:6" s="2" customFormat="1" ht="6.75" customHeight="1">
      <c r="A48" s="21"/>
      <c r="B48" s="28"/>
      <c r="C48" s="29"/>
      <c r="D48" s="27"/>
    </row>
    <row r="49" spans="1:4" s="2" customFormat="1" ht="15" customHeight="1">
      <c r="A49" s="30"/>
      <c r="B49" s="28"/>
      <c r="C49" s="29"/>
      <c r="D49" s="27"/>
    </row>
    <row r="50" spans="1:4" s="31" customFormat="1" ht="162" customHeight="1">
      <c r="A50" s="191"/>
      <c r="B50" s="191"/>
      <c r="C50" s="191"/>
      <c r="D50" s="191"/>
    </row>
    <row r="51" spans="1:4" s="31" customFormat="1" ht="20.100000000000001" customHeight="1">
      <c r="A51" s="113"/>
      <c r="B51" s="113"/>
      <c r="C51" s="113"/>
      <c r="D51" s="113"/>
    </row>
    <row r="52" spans="1:4" s="31" customFormat="1" ht="14.25" customHeight="1">
      <c r="A52" s="182"/>
      <c r="B52" s="182"/>
      <c r="C52" s="192"/>
      <c r="D52" s="192"/>
    </row>
    <row r="53" spans="1:4" s="2" customFormat="1" ht="12">
      <c r="A53" s="16"/>
      <c r="C53" s="180"/>
      <c r="D53" s="180"/>
    </row>
    <row r="54" spans="1:4">
      <c r="A54" s="16"/>
      <c r="B54" s="12"/>
    </row>
    <row r="55" spans="1:4">
      <c r="A55" s="13"/>
      <c r="B55" s="14"/>
      <c r="C55" s="14"/>
      <c r="D55" s="15"/>
    </row>
    <row r="56" spans="1:4">
      <c r="A56" s="114"/>
      <c r="B56" s="85"/>
      <c r="C56" s="85"/>
      <c r="D56" s="87"/>
    </row>
    <row r="57" spans="1:4">
      <c r="A57" s="17"/>
      <c r="B57" s="86"/>
      <c r="C57" s="86"/>
      <c r="D57" s="18"/>
    </row>
    <row r="62" spans="1:4" ht="13.5" thickBot="1"/>
    <row r="63" spans="1:4" ht="15.75" thickTop="1">
      <c r="A63" s="183" t="s">
        <v>76</v>
      </c>
      <c r="B63" s="184"/>
      <c r="C63" s="185"/>
    </row>
    <row r="64" spans="1:4" ht="19.5">
      <c r="A64" s="130" t="s">
        <v>17</v>
      </c>
      <c r="B64" s="127"/>
      <c r="C64" s="131">
        <v>1000000</v>
      </c>
    </row>
    <row r="65" spans="1:3" ht="19.5">
      <c r="A65" s="132" t="s">
        <v>8</v>
      </c>
      <c r="B65" s="128"/>
      <c r="C65" s="133">
        <v>24</v>
      </c>
    </row>
    <row r="66" spans="1:3" ht="11.25" customHeight="1">
      <c r="A66" s="186"/>
      <c r="B66" s="187"/>
      <c r="C66" s="188"/>
    </row>
    <row r="67" spans="1:3" ht="19.5">
      <c r="A67" s="134" t="s">
        <v>16</v>
      </c>
      <c r="B67" s="129"/>
      <c r="C67" s="145">
        <f>D40</f>
        <v>1.2500000000000001E-2</v>
      </c>
    </row>
    <row r="68" spans="1:3" ht="20.25" thickBot="1">
      <c r="A68" s="135" t="str">
        <f>B44</f>
        <v>VALOR DE LA CUOTA PRÉSTAMO(Capital + Intereses)</v>
      </c>
      <c r="B68" s="136"/>
      <c r="C68" s="137">
        <f>D44</f>
        <v>63500</v>
      </c>
    </row>
    <row r="69" spans="1:3" ht="13.5" thickTop="1"/>
  </sheetData>
  <sheetProtection password="D862" sheet="1" formatCells="0" formatColumns="0" formatRows="0" insertColumns="0" insertRows="0" insertHyperlinks="0" deleteColumns="0" deleteRows="0" sort="0" autoFilter="0" pivotTables="0"/>
  <customSheetViews>
    <customSheetView guid="{131D95B3-501A-4570-9E79-0833DE95D6EE}" scale="110" showPageBreaks="1" printArea="1" state="hidden" view="pageBreakPreview" topLeftCell="A25">
      <selection activeCell="D44" sqref="D44"/>
      <pageMargins left="0.70866141732283472" right="0.70866141732283472" top="0.35433070866141736" bottom="0.74803149606299213" header="0.31496062992125984" footer="0.31496062992125984"/>
      <printOptions horizontalCentered="1"/>
      <pageSetup paperSize="9" scale="97" orientation="portrait" r:id="rId1"/>
    </customSheetView>
    <customSheetView guid="{0CE4C416-8F7B-420A-B0AA-542E139A7665}" scale="110" showPageBreaks="1" printArea="1" view="pageBreakPreview" topLeftCell="A58">
      <selection activeCell="A63" sqref="A63:C68"/>
      <pageMargins left="0.70866141732283472" right="0.70866141732283472" top="0.35433070866141736" bottom="0.74803149606299213" header="0.31496062992125984" footer="0.31496062992125984"/>
      <printOptions horizontalCentered="1"/>
      <pageSetup paperSize="9" scale="97" orientation="portrait" r:id="rId2"/>
    </customSheetView>
    <customSheetView guid="{9C57F4D4-CD23-40CB-B591-5182657A2772}" scale="110" showPageBreaks="1" printArea="1" view="pageBreakPreview" topLeftCell="A31">
      <selection activeCell="E34" sqref="E34"/>
      <pageMargins left="0.70866141732283472" right="0.70866141732283472" top="0.35433070866141736" bottom="0.74803149606299213" header="0.31496062992125984" footer="0.31496062992125984"/>
      <printOptions horizontalCentered="1"/>
      <pageSetup paperSize="9" scale="97" orientation="portrait" r:id="rId3"/>
    </customSheetView>
  </customSheetViews>
  <mergeCells count="30">
    <mergeCell ref="B19:C19"/>
    <mergeCell ref="B42:C42"/>
    <mergeCell ref="B44:C44"/>
    <mergeCell ref="B45:C45"/>
    <mergeCell ref="B47:C47"/>
    <mergeCell ref="B37:C37"/>
    <mergeCell ref="B34:D34"/>
    <mergeCell ref="B38:C38"/>
    <mergeCell ref="B39:C39"/>
    <mergeCell ref="B43:C43"/>
    <mergeCell ref="B29:B31"/>
    <mergeCell ref="B35:C35"/>
    <mergeCell ref="A1:D1"/>
    <mergeCell ref="A2:D2"/>
    <mergeCell ref="A4:D4"/>
    <mergeCell ref="B11:C11"/>
    <mergeCell ref="B18:C18"/>
    <mergeCell ref="B16:C16"/>
    <mergeCell ref="B17:C17"/>
    <mergeCell ref="B10:C10"/>
    <mergeCell ref="A3:C3"/>
    <mergeCell ref="C53:D53"/>
    <mergeCell ref="B21:C21"/>
    <mergeCell ref="A52:B52"/>
    <mergeCell ref="A63:C63"/>
    <mergeCell ref="A66:C66"/>
    <mergeCell ref="B40:C40"/>
    <mergeCell ref="B41:C41"/>
    <mergeCell ref="A50:D50"/>
    <mergeCell ref="C52:D52"/>
  </mergeCells>
  <printOptions horizontalCentered="1"/>
  <pageMargins left="0.70866141732283472" right="0.70866141732283472" top="0.35433070866141736" bottom="0.74803149606299213" header="0.31496062992125984" footer="0.31496062992125984"/>
  <pageSetup paperSize="9" scale="97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105"/>
  <sheetViews>
    <sheetView windowProtection="1" topLeftCell="A89" workbookViewId="0">
      <selection activeCell="M96" sqref="M96"/>
    </sheetView>
  </sheetViews>
  <sheetFormatPr baseColWidth="10" defaultRowHeight="12.75"/>
  <cols>
    <col min="1" max="1" width="4.28515625" style="7" customWidth="1"/>
    <col min="2" max="2" width="11.5703125" style="7" bestFit="1" customWidth="1"/>
    <col min="3" max="3" width="10.5703125" style="8" bestFit="1" customWidth="1"/>
    <col min="4" max="4" width="13.28515625" style="7" bestFit="1" customWidth="1"/>
    <col min="5" max="5" width="13.7109375" style="7" bestFit="1" customWidth="1"/>
    <col min="6" max="6" width="14.42578125" style="7" bestFit="1" customWidth="1"/>
    <col min="7" max="9" width="11.42578125" style="7"/>
    <col min="10" max="10" width="15.140625" style="7" bestFit="1" customWidth="1"/>
    <col min="11" max="11" width="17.5703125" style="7" bestFit="1" customWidth="1"/>
    <col min="12" max="16384" width="11.42578125" style="7"/>
  </cols>
  <sheetData>
    <row r="1" spans="1:14">
      <c r="I1" s="64" t="s">
        <v>22</v>
      </c>
      <c r="J1" s="64" t="s">
        <v>23</v>
      </c>
      <c r="K1" s="64" t="s">
        <v>24</v>
      </c>
    </row>
    <row r="2" spans="1:14">
      <c r="A2" s="7" t="s">
        <v>3</v>
      </c>
      <c r="B2" s="63">
        <f>SIMULADOR!D6</f>
        <v>1.2500000000000001E-2</v>
      </c>
      <c r="C2" s="8" t="s">
        <v>4</v>
      </c>
      <c r="D2" s="7" t="s">
        <v>5</v>
      </c>
      <c r="E2" s="7" t="s">
        <v>6</v>
      </c>
      <c r="F2" s="7" t="s">
        <v>12</v>
      </c>
      <c r="I2" s="65">
        <f>B2*12</f>
        <v>0.15000000000000002</v>
      </c>
      <c r="J2" s="7" t="e">
        <f ca="1">ROUND(TASA.NOMINAL(I2,12)*100,2)</f>
        <v>#NAME?</v>
      </c>
      <c r="K2" s="7" t="e">
        <f ca="1">ROUNDUP(J2/12,3)</f>
        <v>#NAME?</v>
      </c>
    </row>
    <row r="3" spans="1:14">
      <c r="A3" s="7">
        <v>1</v>
      </c>
      <c r="B3" s="9">
        <f>(1+$B$2)^-A3</f>
        <v>0.98765432098765438</v>
      </c>
      <c r="C3" s="8">
        <f>(1-B3)/$B$2</f>
        <v>0.98765432098764983</v>
      </c>
      <c r="D3" s="10">
        <f>ROUND(1000000/C3,-2)</f>
        <v>1012500</v>
      </c>
      <c r="E3" s="10">
        <f>(D3*A3)</f>
        <v>1012500</v>
      </c>
      <c r="F3" s="4">
        <f>ROUNDUP(ESTUDIO!$D$19/C3,-2)</f>
        <v>3037600</v>
      </c>
      <c r="G3" s="3">
        <f>(IF(ESTUDIO!$C$33=A3,F3,0))</f>
        <v>0</v>
      </c>
      <c r="H3" s="11">
        <f>IF(G3&gt;0,A3,0)</f>
        <v>0</v>
      </c>
      <c r="J3" s="66">
        <f>IF(H3&gt;0,TASA.NOMINAL($I$2,H3),0)</f>
        <v>0</v>
      </c>
      <c r="K3" s="7">
        <f t="shared" ref="K3:K14" si="0">ROUNDUP(J3/12,3)</f>
        <v>0</v>
      </c>
    </row>
    <row r="4" spans="1:14">
      <c r="A4" s="7">
        <v>2</v>
      </c>
      <c r="B4" s="9">
        <f t="shared" ref="B4:B67" si="1">(1+$B$2)^-A4</f>
        <v>0.97546105776558456</v>
      </c>
      <c r="C4" s="8">
        <f t="shared" ref="C4:C67" si="2">(1-B4)/$B$2</f>
        <v>1.9631153787532352</v>
      </c>
      <c r="D4" s="10">
        <f t="shared" ref="D4:D67" si="3">ROUND(1000000/C4,-2)</f>
        <v>509400</v>
      </c>
      <c r="E4" s="10">
        <f t="shared" ref="E4:E67" si="4">(D4*A4)</f>
        <v>1018800</v>
      </c>
      <c r="F4" s="4">
        <f>ROUNDUP(ESTUDIO!$D$19/C4,-2)</f>
        <v>1528200</v>
      </c>
      <c r="G4" s="3">
        <f>(IF(ESTUDIO!$C$33=A4,F4,0))</f>
        <v>0</v>
      </c>
      <c r="H4" s="11">
        <f t="shared" ref="H4:H67" si="5">IF(G4&gt;0,A4,0)</f>
        <v>0</v>
      </c>
      <c r="J4" s="66">
        <f t="shared" ref="J4:J67" si="6">IF(H4&gt;0,TASA.NOMINAL($I$2,H4),0)*100</f>
        <v>0</v>
      </c>
      <c r="K4" s="7">
        <f t="shared" si="0"/>
        <v>0</v>
      </c>
    </row>
    <row r="5" spans="1:14">
      <c r="A5" s="7">
        <v>3</v>
      </c>
      <c r="B5" s="9">
        <f t="shared" si="1"/>
        <v>0.96341832865736754</v>
      </c>
      <c r="C5" s="8">
        <f t="shared" si="2"/>
        <v>2.9265337074105968</v>
      </c>
      <c r="D5" s="10">
        <f t="shared" si="3"/>
        <v>341700</v>
      </c>
      <c r="E5" s="10">
        <f t="shared" si="4"/>
        <v>1025100</v>
      </c>
      <c r="F5" s="4">
        <f>ROUNDUP(ESTUDIO!$D$19/C5,-2)</f>
        <v>1025200</v>
      </c>
      <c r="G5" s="3">
        <f>(IF(ESTUDIO!$C$33=A5,F5,0))</f>
        <v>0</v>
      </c>
      <c r="H5" s="11">
        <f t="shared" si="5"/>
        <v>0</v>
      </c>
      <c r="J5" s="66">
        <f t="shared" si="6"/>
        <v>0</v>
      </c>
      <c r="K5" s="7">
        <f t="shared" si="0"/>
        <v>0</v>
      </c>
      <c r="M5" s="64" t="s">
        <v>25</v>
      </c>
      <c r="N5" s="64" t="s">
        <v>26</v>
      </c>
    </row>
    <row r="6" spans="1:14">
      <c r="A6" s="7">
        <f t="shared" ref="A6:A69" si="7">A5+1</f>
        <v>4</v>
      </c>
      <c r="B6" s="9">
        <f t="shared" si="1"/>
        <v>0.9515242752171531</v>
      </c>
      <c r="C6" s="8">
        <f t="shared" si="2"/>
        <v>3.8780579826277517</v>
      </c>
      <c r="D6" s="10">
        <f t="shared" si="3"/>
        <v>257900</v>
      </c>
      <c r="E6" s="10">
        <f t="shared" si="4"/>
        <v>1031600</v>
      </c>
      <c r="F6" s="4">
        <f>ROUNDUP(ESTUDIO!$D$19/C6,-2)</f>
        <v>773600</v>
      </c>
      <c r="G6" s="3">
        <f>(IF(ESTUDIO!$C$33=A6,F6,0))</f>
        <v>0</v>
      </c>
      <c r="H6" s="11">
        <f t="shared" si="5"/>
        <v>0</v>
      </c>
      <c r="J6" s="66">
        <f t="shared" si="6"/>
        <v>0</v>
      </c>
      <c r="K6" s="7">
        <f t="shared" si="0"/>
        <v>0</v>
      </c>
      <c r="M6" s="65">
        <f>B2*12</f>
        <v>0.15000000000000002</v>
      </c>
      <c r="N6" s="65" t="e">
        <f ca="1">INT.EFECTIVO(M6,12)</f>
        <v>#NAME?</v>
      </c>
    </row>
    <row r="7" spans="1:14">
      <c r="A7" s="7">
        <f t="shared" si="7"/>
        <v>5</v>
      </c>
      <c r="B7" s="9">
        <f t="shared" si="1"/>
        <v>0.93977706194286736</v>
      </c>
      <c r="C7" s="8">
        <f t="shared" si="2"/>
        <v>4.8178350445706108</v>
      </c>
      <c r="D7" s="10">
        <f t="shared" si="3"/>
        <v>207600</v>
      </c>
      <c r="E7" s="10">
        <f t="shared" si="4"/>
        <v>1038000</v>
      </c>
      <c r="F7" s="4">
        <f>ROUNDUP(ESTUDIO!$D$19/C7,-2)</f>
        <v>622700</v>
      </c>
      <c r="G7" s="3">
        <f>(IF(ESTUDIO!$C$33=A7,F7,0))</f>
        <v>0</v>
      </c>
      <c r="H7" s="11">
        <f t="shared" si="5"/>
        <v>0</v>
      </c>
      <c r="J7" s="66">
        <f t="shared" si="6"/>
        <v>0</v>
      </c>
      <c r="K7" s="7">
        <f t="shared" si="0"/>
        <v>0</v>
      </c>
    </row>
    <row r="8" spans="1:14">
      <c r="A8" s="7">
        <f t="shared" si="7"/>
        <v>6</v>
      </c>
      <c r="B8" s="9">
        <f t="shared" si="1"/>
        <v>0.92817487599295534</v>
      </c>
      <c r="C8" s="8">
        <f t="shared" si="2"/>
        <v>5.7460099205635728</v>
      </c>
      <c r="D8" s="10">
        <f t="shared" si="3"/>
        <v>174000</v>
      </c>
      <c r="E8" s="10">
        <f t="shared" si="4"/>
        <v>1044000</v>
      </c>
      <c r="F8" s="4">
        <f>ROUNDUP(ESTUDIO!$D$19/C8,-2)</f>
        <v>522200</v>
      </c>
      <c r="G8" s="3">
        <f>(IF(ESTUDIO!$C$33=A8,F8,0))</f>
        <v>0</v>
      </c>
      <c r="H8" s="11">
        <f t="shared" si="5"/>
        <v>0</v>
      </c>
      <c r="J8" s="66">
        <f t="shared" si="6"/>
        <v>0</v>
      </c>
      <c r="K8" s="7">
        <f t="shared" si="0"/>
        <v>0</v>
      </c>
    </row>
    <row r="9" spans="1:14">
      <c r="A9" s="7">
        <f t="shared" si="7"/>
        <v>7</v>
      </c>
      <c r="B9" s="9">
        <f t="shared" si="1"/>
        <v>0.91671592690662274</v>
      </c>
      <c r="C9" s="8">
        <f t="shared" si="2"/>
        <v>6.6627258474701812</v>
      </c>
      <c r="D9" s="10">
        <f t="shared" si="3"/>
        <v>150100</v>
      </c>
      <c r="E9" s="10">
        <f t="shared" si="4"/>
        <v>1050700</v>
      </c>
      <c r="F9" s="4">
        <f>ROUNDUP(ESTUDIO!$D$19/C9,-2)</f>
        <v>450300</v>
      </c>
      <c r="G9" s="3">
        <f>(IF(ESTUDIO!$C$33=A9,F9,0))</f>
        <v>0</v>
      </c>
      <c r="H9" s="11">
        <f t="shared" si="5"/>
        <v>0</v>
      </c>
      <c r="J9" s="66">
        <f t="shared" si="6"/>
        <v>0</v>
      </c>
      <c r="K9" s="7">
        <f t="shared" si="0"/>
        <v>0</v>
      </c>
    </row>
    <row r="10" spans="1:14">
      <c r="A10" s="7">
        <f t="shared" si="7"/>
        <v>8</v>
      </c>
      <c r="B10" s="9">
        <f t="shared" si="1"/>
        <v>0.90539844632752842</v>
      </c>
      <c r="C10" s="8">
        <f t="shared" si="2"/>
        <v>7.5681242937977267</v>
      </c>
      <c r="D10" s="10">
        <f t="shared" si="3"/>
        <v>132100</v>
      </c>
      <c r="E10" s="10">
        <f t="shared" si="4"/>
        <v>1056800</v>
      </c>
      <c r="F10" s="4">
        <f>ROUNDUP(ESTUDIO!$D$19/C10,-2)</f>
        <v>396400</v>
      </c>
      <c r="G10" s="3">
        <f>(IF(ESTUDIO!$C$33=A10,F10,0))</f>
        <v>0</v>
      </c>
      <c r="H10" s="11">
        <f t="shared" si="5"/>
        <v>0</v>
      </c>
      <c r="J10" s="66">
        <f t="shared" si="6"/>
        <v>0</v>
      </c>
      <c r="K10" s="7">
        <f t="shared" si="0"/>
        <v>0</v>
      </c>
    </row>
    <row r="11" spans="1:14">
      <c r="A11" s="7">
        <f t="shared" si="7"/>
        <v>9</v>
      </c>
      <c r="B11" s="9">
        <f t="shared" si="1"/>
        <v>0.89422068773089236</v>
      </c>
      <c r="C11" s="8">
        <f t="shared" si="2"/>
        <v>8.4623449815286111</v>
      </c>
      <c r="D11" s="10">
        <f t="shared" si="3"/>
        <v>118200</v>
      </c>
      <c r="E11" s="10">
        <f t="shared" si="4"/>
        <v>1063800</v>
      </c>
      <c r="F11" s="4">
        <f>ROUNDUP(ESTUDIO!$D$19/C11,-2)</f>
        <v>354600</v>
      </c>
      <c r="G11" s="3">
        <f>(IF(ESTUDIO!$C$33=A11,F11,0))</f>
        <v>0</v>
      </c>
      <c r="H11" s="11">
        <f t="shared" si="5"/>
        <v>0</v>
      </c>
      <c r="J11" s="66">
        <f t="shared" si="6"/>
        <v>0</v>
      </c>
      <c r="K11" s="7">
        <f t="shared" si="0"/>
        <v>0</v>
      </c>
    </row>
    <row r="12" spans="1:14">
      <c r="A12" s="7">
        <f t="shared" si="7"/>
        <v>10</v>
      </c>
      <c r="B12" s="9">
        <f t="shared" si="1"/>
        <v>0.88318092615396759</v>
      </c>
      <c r="C12" s="8">
        <f t="shared" si="2"/>
        <v>9.3455259076825925</v>
      </c>
      <c r="D12" s="10">
        <f t="shared" si="3"/>
        <v>107000</v>
      </c>
      <c r="E12" s="10">
        <f t="shared" si="4"/>
        <v>1070000</v>
      </c>
      <c r="F12" s="4">
        <f>ROUNDUP(ESTUDIO!$D$19/C12,-2)</f>
        <v>321100</v>
      </c>
      <c r="G12" s="3">
        <f>(IF(ESTUDIO!$C$33=A12,F12,0))</f>
        <v>0</v>
      </c>
      <c r="H12" s="11">
        <f t="shared" si="5"/>
        <v>0</v>
      </c>
      <c r="J12" s="66">
        <f t="shared" si="6"/>
        <v>0</v>
      </c>
      <c r="K12" s="7">
        <f t="shared" si="0"/>
        <v>0</v>
      </c>
    </row>
    <row r="13" spans="1:14">
      <c r="A13" s="7">
        <f t="shared" si="7"/>
        <v>11</v>
      </c>
      <c r="B13" s="9">
        <f t="shared" si="1"/>
        <v>0.87227745792984479</v>
      </c>
      <c r="C13" s="8">
        <f t="shared" si="2"/>
        <v>10.217803365612417</v>
      </c>
      <c r="D13" s="10">
        <f t="shared" si="3"/>
        <v>97900</v>
      </c>
      <c r="E13" s="10">
        <f t="shared" si="4"/>
        <v>1076900</v>
      </c>
      <c r="F13" s="4">
        <f>ROUNDUP(ESTUDIO!$D$19/C13,-2)</f>
        <v>293700</v>
      </c>
      <c r="G13" s="3">
        <f>(IF(ESTUDIO!$C$33=A13,F13,0))</f>
        <v>0</v>
      </c>
      <c r="H13" s="11">
        <f t="shared" si="5"/>
        <v>0</v>
      </c>
      <c r="J13" s="66">
        <f t="shared" si="6"/>
        <v>0</v>
      </c>
      <c r="K13" s="7">
        <f t="shared" si="0"/>
        <v>0</v>
      </c>
    </row>
    <row r="14" spans="1:14">
      <c r="A14" s="7">
        <f t="shared" si="7"/>
        <v>12</v>
      </c>
      <c r="B14" s="9">
        <f>(1+$B$2)^-A14</f>
        <v>0.86150860042453792</v>
      </c>
      <c r="C14" s="8">
        <f t="shared" si="2"/>
        <v>11.079311966036967</v>
      </c>
      <c r="D14" s="10">
        <f>ROUND(1000000/C14,-2)</f>
        <v>90300</v>
      </c>
      <c r="E14" s="10">
        <f t="shared" si="4"/>
        <v>1083600</v>
      </c>
      <c r="F14" s="4">
        <f>ROUNDUP(ESTUDIO!$D$19/C14,-2)</f>
        <v>270800</v>
      </c>
      <c r="G14" s="3">
        <f>(IF(ESTUDIO!$C$33=A14,F14,0))</f>
        <v>0</v>
      </c>
      <c r="H14" s="11">
        <f t="shared" si="5"/>
        <v>0</v>
      </c>
      <c r="J14" s="66">
        <f t="shared" si="6"/>
        <v>0</v>
      </c>
      <c r="K14" s="7">
        <f t="shared" si="0"/>
        <v>0</v>
      </c>
    </row>
    <row r="15" spans="1:14">
      <c r="A15" s="7">
        <f t="shared" si="7"/>
        <v>13</v>
      </c>
      <c r="B15" s="9">
        <f t="shared" si="1"/>
        <v>0.85087269177732161</v>
      </c>
      <c r="C15" s="8">
        <f t="shared" si="2"/>
        <v>11.930184657814271</v>
      </c>
      <c r="D15" s="10">
        <f t="shared" si="3"/>
        <v>83800</v>
      </c>
      <c r="E15" s="10">
        <f t="shared" si="4"/>
        <v>1089400</v>
      </c>
      <c r="F15" s="4">
        <f>ROUNDUP(ESTUDIO!$D$19/C15,-2)</f>
        <v>251500</v>
      </c>
      <c r="G15" s="3">
        <f>(IF(ESTUDIO!$C$33=A15,F15,0))</f>
        <v>0</v>
      </c>
      <c r="H15" s="11">
        <f t="shared" si="5"/>
        <v>0</v>
      </c>
      <c r="J15" s="66">
        <f t="shared" si="6"/>
        <v>0</v>
      </c>
      <c r="K15" s="7">
        <f t="shared" ref="K15:K66" si="8">ROUNDUP(J15/12,3)</f>
        <v>0</v>
      </c>
    </row>
    <row r="16" spans="1:14">
      <c r="A16" s="7">
        <f t="shared" si="7"/>
        <v>14</v>
      </c>
      <c r="B16" s="9">
        <f t="shared" si="1"/>
        <v>0.8403680906442681</v>
      </c>
      <c r="C16" s="8">
        <f t="shared" si="2"/>
        <v>12.770552748458552</v>
      </c>
      <c r="D16" s="10">
        <f t="shared" si="3"/>
        <v>78300</v>
      </c>
      <c r="E16" s="10">
        <f t="shared" si="4"/>
        <v>1096200</v>
      </c>
      <c r="F16" s="4">
        <f>ROUNDUP(ESTUDIO!$D$19/C16,-2)</f>
        <v>235000</v>
      </c>
      <c r="G16" s="3">
        <f>(IF(ESTUDIO!$C$33=A16,F16,0))</f>
        <v>0</v>
      </c>
      <c r="H16" s="11">
        <f t="shared" si="5"/>
        <v>0</v>
      </c>
      <c r="J16" s="66">
        <f t="shared" si="6"/>
        <v>0</v>
      </c>
      <c r="K16" s="7">
        <f t="shared" si="8"/>
        <v>0</v>
      </c>
    </row>
    <row r="17" spans="1:11">
      <c r="A17" s="7">
        <f t="shared" si="7"/>
        <v>15</v>
      </c>
      <c r="B17" s="9">
        <f t="shared" si="1"/>
        <v>0.82999317594495636</v>
      </c>
      <c r="C17" s="8">
        <f t="shared" si="2"/>
        <v>13.600545924403491</v>
      </c>
      <c r="D17" s="10">
        <f t="shared" si="3"/>
        <v>73500</v>
      </c>
      <c r="E17" s="10">
        <f t="shared" si="4"/>
        <v>1102500</v>
      </c>
      <c r="F17" s="4">
        <f>ROUNDUP(ESTUDIO!$D$19/C17,-2)</f>
        <v>220600</v>
      </c>
      <c r="G17" s="3">
        <f>(IF(ESTUDIO!$C$33=A17,F17,0))</f>
        <v>0</v>
      </c>
      <c r="H17" s="11">
        <f t="shared" si="5"/>
        <v>0</v>
      </c>
      <c r="J17" s="66">
        <f t="shared" si="6"/>
        <v>0</v>
      </c>
      <c r="K17" s="7">
        <f t="shared" si="8"/>
        <v>0</v>
      </c>
    </row>
    <row r="18" spans="1:11">
      <c r="A18" s="7">
        <f t="shared" si="7"/>
        <v>16</v>
      </c>
      <c r="B18" s="9">
        <f t="shared" si="1"/>
        <v>0.81974634661230239</v>
      </c>
      <c r="C18" s="8">
        <f t="shared" si="2"/>
        <v>14.420292271015809</v>
      </c>
      <c r="D18" s="10">
        <f t="shared" si="3"/>
        <v>69300</v>
      </c>
      <c r="E18" s="10">
        <f t="shared" si="4"/>
        <v>1108800</v>
      </c>
      <c r="F18" s="4">
        <f>ROUNDUP(ESTUDIO!$D$19/C18,-2)</f>
        <v>208100</v>
      </c>
      <c r="G18" s="3">
        <f>(IF(ESTUDIO!$C$33=A18,F18,0))</f>
        <v>0</v>
      </c>
      <c r="H18" s="11">
        <f t="shared" si="5"/>
        <v>0</v>
      </c>
      <c r="J18" s="66">
        <f t="shared" si="6"/>
        <v>0</v>
      </c>
      <c r="K18" s="7">
        <f t="shared" si="8"/>
        <v>0</v>
      </c>
    </row>
    <row r="19" spans="1:11">
      <c r="A19" s="7">
        <f t="shared" si="7"/>
        <v>17</v>
      </c>
      <c r="B19" s="9">
        <f t="shared" si="1"/>
        <v>0.80962602134548389</v>
      </c>
      <c r="C19" s="8">
        <f t="shared" si="2"/>
        <v>15.229918292361289</v>
      </c>
      <c r="D19" s="10">
        <f t="shared" si="3"/>
        <v>65700</v>
      </c>
      <c r="E19" s="10">
        <f t="shared" si="4"/>
        <v>1116900</v>
      </c>
      <c r="F19" s="4">
        <f>ROUNDUP(ESTUDIO!$D$19/C19,-2)</f>
        <v>197000</v>
      </c>
      <c r="G19" s="3">
        <f>(IF(ESTUDIO!$C$33=A19,F19,0))</f>
        <v>0</v>
      </c>
      <c r="H19" s="11">
        <f t="shared" si="5"/>
        <v>0</v>
      </c>
      <c r="J19" s="66">
        <f t="shared" si="6"/>
        <v>0</v>
      </c>
      <c r="K19" s="7">
        <f t="shared" si="8"/>
        <v>0</v>
      </c>
    </row>
    <row r="20" spans="1:11">
      <c r="A20" s="7">
        <f t="shared" si="7"/>
        <v>18</v>
      </c>
      <c r="B20" s="9">
        <f t="shared" si="1"/>
        <v>0.79963063836590986</v>
      </c>
      <c r="C20" s="8">
        <f t="shared" si="2"/>
        <v>16.029548930727209</v>
      </c>
      <c r="D20" s="10">
        <f t="shared" si="3"/>
        <v>62400</v>
      </c>
      <c r="E20" s="10">
        <f t="shared" si="4"/>
        <v>1123200</v>
      </c>
      <c r="F20" s="4">
        <f>ROUNDUP(ESTUDIO!$D$19/C20,-2)</f>
        <v>187200</v>
      </c>
      <c r="G20" s="3">
        <f>(IF(ESTUDIO!$C$33=A20,F20,0))</f>
        <v>0</v>
      </c>
      <c r="H20" s="11">
        <f t="shared" si="5"/>
        <v>0</v>
      </c>
      <c r="J20" s="66">
        <f t="shared" si="6"/>
        <v>0</v>
      </c>
      <c r="K20" s="7">
        <f t="shared" si="8"/>
        <v>0</v>
      </c>
    </row>
    <row r="21" spans="1:11">
      <c r="A21" s="7">
        <f t="shared" si="7"/>
        <v>19</v>
      </c>
      <c r="B21" s="9">
        <f t="shared" si="1"/>
        <v>0.78975865517620747</v>
      </c>
      <c r="C21" s="8">
        <f t="shared" si="2"/>
        <v>16.819307585903402</v>
      </c>
      <c r="D21" s="10">
        <f t="shared" si="3"/>
        <v>59500</v>
      </c>
      <c r="E21" s="10">
        <f t="shared" si="4"/>
        <v>1130500</v>
      </c>
      <c r="F21" s="4">
        <f>ROUNDUP(ESTUDIO!$D$19/C21,-2)</f>
        <v>178400</v>
      </c>
      <c r="G21" s="3">
        <f>(IF(ESTUDIO!$C$33=A21,F21,0))</f>
        <v>0</v>
      </c>
      <c r="H21" s="11">
        <f t="shared" si="5"/>
        <v>0</v>
      </c>
      <c r="J21" s="66">
        <f t="shared" si="6"/>
        <v>0</v>
      </c>
      <c r="K21" s="7">
        <f t="shared" si="8"/>
        <v>0</v>
      </c>
    </row>
    <row r="22" spans="1:11">
      <c r="A22" s="7">
        <f t="shared" si="7"/>
        <v>20</v>
      </c>
      <c r="B22" s="9">
        <f t="shared" si="1"/>
        <v>0.78000854832218014</v>
      </c>
      <c r="C22" s="8">
        <f t="shared" si="2"/>
        <v>17.599316134225589</v>
      </c>
      <c r="D22" s="10">
        <f t="shared" si="3"/>
        <v>56800</v>
      </c>
      <c r="E22" s="10">
        <f t="shared" si="4"/>
        <v>1136000</v>
      </c>
      <c r="F22" s="4">
        <f>ROUNDUP(ESTUDIO!$D$19/C22,-2)</f>
        <v>170500</v>
      </c>
      <c r="G22" s="3">
        <f>(IF(ESTUDIO!$C$33=A22,F22,0))</f>
        <v>0</v>
      </c>
      <c r="H22" s="11">
        <f t="shared" si="5"/>
        <v>0</v>
      </c>
      <c r="J22" s="66">
        <f t="shared" si="6"/>
        <v>0</v>
      </c>
      <c r="K22" s="7">
        <f t="shared" si="8"/>
        <v>0</v>
      </c>
    </row>
    <row r="23" spans="1:11">
      <c r="A23" s="7">
        <f t="shared" si="7"/>
        <v>21</v>
      </c>
      <c r="B23" s="9">
        <f t="shared" si="1"/>
        <v>0.77037881315770895</v>
      </c>
      <c r="C23" s="8">
        <f t="shared" si="2"/>
        <v>18.369694947383284</v>
      </c>
      <c r="D23" s="10">
        <f t="shared" si="3"/>
        <v>54400</v>
      </c>
      <c r="E23" s="10">
        <f t="shared" si="4"/>
        <v>1142400</v>
      </c>
      <c r="F23" s="4">
        <f>ROUNDUP(ESTUDIO!$D$19/C23,-2)</f>
        <v>163400</v>
      </c>
      <c r="G23" s="3">
        <f>(IF(ESTUDIO!$C$33=A23,F23,0))</f>
        <v>0</v>
      </c>
      <c r="H23" s="11">
        <f t="shared" si="5"/>
        <v>0</v>
      </c>
      <c r="J23" s="66">
        <f t="shared" si="6"/>
        <v>0</v>
      </c>
      <c r="K23" s="7">
        <f t="shared" si="8"/>
        <v>0</v>
      </c>
    </row>
    <row r="24" spans="1:11">
      <c r="A24" s="7">
        <f t="shared" si="7"/>
        <v>22</v>
      </c>
      <c r="B24" s="9">
        <f t="shared" si="1"/>
        <v>0.76086796361255205</v>
      </c>
      <c r="C24" s="8">
        <f t="shared" si="2"/>
        <v>19.130562910995835</v>
      </c>
      <c r="D24" s="10">
        <f t="shared" si="3"/>
        <v>52300</v>
      </c>
      <c r="E24" s="10">
        <f t="shared" si="4"/>
        <v>1150600</v>
      </c>
      <c r="F24" s="4">
        <f>ROUNDUP(ESTUDIO!$D$19/C24,-2)</f>
        <v>156900</v>
      </c>
      <c r="G24" s="3">
        <f>(IF(ESTUDIO!$C$33=A24,F24,0))</f>
        <v>0</v>
      </c>
      <c r="H24" s="11">
        <f t="shared" si="5"/>
        <v>0</v>
      </c>
      <c r="J24" s="66">
        <f t="shared" si="6"/>
        <v>0</v>
      </c>
      <c r="K24" s="7">
        <f t="shared" si="8"/>
        <v>0</v>
      </c>
    </row>
    <row r="25" spans="1:11">
      <c r="A25" s="7">
        <f t="shared" si="7"/>
        <v>23</v>
      </c>
      <c r="B25" s="9">
        <f t="shared" si="1"/>
        <v>0.75147453196301439</v>
      </c>
      <c r="C25" s="8">
        <f t="shared" si="2"/>
        <v>19.882037442958847</v>
      </c>
      <c r="D25" s="10">
        <f t="shared" si="3"/>
        <v>50300</v>
      </c>
      <c r="E25" s="10">
        <f t="shared" si="4"/>
        <v>1156900</v>
      </c>
      <c r="F25" s="4">
        <f>ROUNDUP(ESTUDIO!$D$19/C25,-2)</f>
        <v>150900</v>
      </c>
      <c r="G25" s="3">
        <f>(IF(ESTUDIO!$C$33=A25,F25,0))</f>
        <v>0</v>
      </c>
      <c r="H25" s="11">
        <f t="shared" si="5"/>
        <v>0</v>
      </c>
      <c r="J25" s="66">
        <f t="shared" si="6"/>
        <v>0</v>
      </c>
      <c r="K25" s="7">
        <f t="shared" si="8"/>
        <v>0</v>
      </c>
    </row>
    <row r="26" spans="1:11">
      <c r="A26" s="7">
        <f t="shared" si="7"/>
        <v>24</v>
      </c>
      <c r="B26" s="9">
        <f t="shared" si="1"/>
        <v>0.74219706860544621</v>
      </c>
      <c r="C26" s="8">
        <f t="shared" si="2"/>
        <v>20.624234511564303</v>
      </c>
      <c r="D26" s="10">
        <f t="shared" si="3"/>
        <v>48500</v>
      </c>
      <c r="E26" s="10">
        <f t="shared" si="4"/>
        <v>1164000</v>
      </c>
      <c r="F26" s="4">
        <f>ROUNDUP(ESTUDIO!$D$19/C26,-2)</f>
        <v>145500</v>
      </c>
      <c r="G26" s="3">
        <f>(IF(ESTUDIO!$C$33=A26,F26,0))</f>
        <v>0</v>
      </c>
      <c r="H26" s="11">
        <f t="shared" si="5"/>
        <v>0</v>
      </c>
      <c r="J26" s="66">
        <f t="shared" si="6"/>
        <v>0</v>
      </c>
      <c r="K26" s="7">
        <f t="shared" si="8"/>
        <v>0</v>
      </c>
    </row>
    <row r="27" spans="1:11">
      <c r="A27" s="7">
        <f t="shared" si="7"/>
        <v>25</v>
      </c>
      <c r="B27" s="9">
        <f t="shared" si="1"/>
        <v>0.73303414183253957</v>
      </c>
      <c r="C27" s="8">
        <f t="shared" si="2"/>
        <v>21.357268653396833</v>
      </c>
      <c r="D27" s="10">
        <f t="shared" si="3"/>
        <v>46800</v>
      </c>
      <c r="E27" s="10">
        <f t="shared" si="4"/>
        <v>1170000</v>
      </c>
      <c r="F27" s="4">
        <f>ROUNDUP(ESTUDIO!$D$19/C27,-2)</f>
        <v>140500</v>
      </c>
      <c r="G27" s="3">
        <f>(IF(ESTUDIO!$C$33=A27,F27,0))</f>
        <v>0</v>
      </c>
      <c r="H27" s="11">
        <f t="shared" si="5"/>
        <v>0</v>
      </c>
      <c r="J27" s="66">
        <f t="shared" si="6"/>
        <v>0</v>
      </c>
      <c r="K27" s="7">
        <f t="shared" si="8"/>
        <v>0</v>
      </c>
    </row>
    <row r="28" spans="1:11">
      <c r="A28" s="7">
        <f t="shared" si="7"/>
        <v>26</v>
      </c>
      <c r="B28" s="9">
        <f t="shared" si="1"/>
        <v>0.72398433761238457</v>
      </c>
      <c r="C28" s="8">
        <f t="shared" si="2"/>
        <v>22.081252991009233</v>
      </c>
      <c r="D28" s="10">
        <f t="shared" si="3"/>
        <v>45300</v>
      </c>
      <c r="E28" s="10">
        <f t="shared" si="4"/>
        <v>1177800</v>
      </c>
      <c r="F28" s="4">
        <f>ROUNDUP(ESTUDIO!$D$19/C28,-2)</f>
        <v>135900</v>
      </c>
      <c r="G28" s="3">
        <f>(IF(ESTUDIO!$C$33=A28,F28,0))</f>
        <v>0</v>
      </c>
      <c r="H28" s="11">
        <f t="shared" si="5"/>
        <v>0</v>
      </c>
      <c r="J28" s="66">
        <f t="shared" si="6"/>
        <v>0</v>
      </c>
      <c r="K28" s="7">
        <f t="shared" si="8"/>
        <v>0</v>
      </c>
    </row>
    <row r="29" spans="1:11">
      <c r="A29" s="7">
        <f t="shared" si="7"/>
        <v>27</v>
      </c>
      <c r="B29" s="9">
        <f t="shared" si="1"/>
        <v>0.71504625937025657</v>
      </c>
      <c r="C29" s="8">
        <f t="shared" si="2"/>
        <v>22.796299250379473</v>
      </c>
      <c r="D29" s="10">
        <f t="shared" si="3"/>
        <v>43900</v>
      </c>
      <c r="E29" s="10">
        <f t="shared" si="4"/>
        <v>1185300</v>
      </c>
      <c r="F29" s="4">
        <f>ROUNDUP(ESTUDIO!$D$19/C29,-2)</f>
        <v>131700</v>
      </c>
      <c r="G29" s="3">
        <f>(IF(ESTUDIO!$C$33=A29,F29,0))</f>
        <v>0</v>
      </c>
      <c r="H29" s="11">
        <f t="shared" si="5"/>
        <v>0</v>
      </c>
      <c r="J29" s="66">
        <f t="shared" si="6"/>
        <v>0</v>
      </c>
      <c r="K29" s="7">
        <f t="shared" si="8"/>
        <v>0</v>
      </c>
    </row>
    <row r="30" spans="1:11">
      <c r="A30" s="7">
        <f t="shared" si="7"/>
        <v>28</v>
      </c>
      <c r="B30" s="9">
        <f t="shared" si="1"/>
        <v>0.7062185277730928</v>
      </c>
      <c r="C30" s="8">
        <f t="shared" si="2"/>
        <v>23.502517778152576</v>
      </c>
      <c r="D30" s="10">
        <f t="shared" si="3"/>
        <v>42500</v>
      </c>
      <c r="E30" s="10">
        <f t="shared" si="4"/>
        <v>1190000</v>
      </c>
      <c r="F30" s="4">
        <f>ROUNDUP(ESTUDIO!$D$19/C30,-2)</f>
        <v>127700</v>
      </c>
      <c r="G30" s="3">
        <f>(IF(ESTUDIO!$C$33=A30,F30,0))</f>
        <v>0</v>
      </c>
      <c r="H30" s="11">
        <f t="shared" si="5"/>
        <v>0</v>
      </c>
      <c r="J30" s="66">
        <f t="shared" si="6"/>
        <v>0</v>
      </c>
      <c r="K30" s="7">
        <f t="shared" si="8"/>
        <v>0</v>
      </c>
    </row>
    <row r="31" spans="1:11">
      <c r="A31" s="7">
        <f t="shared" si="7"/>
        <v>29</v>
      </c>
      <c r="B31" s="9">
        <f t="shared" si="1"/>
        <v>0.69749978051663497</v>
      </c>
      <c r="C31" s="8">
        <f t="shared" si="2"/>
        <v>24.200017558669202</v>
      </c>
      <c r="D31" s="10">
        <f t="shared" si="3"/>
        <v>41300</v>
      </c>
      <c r="E31" s="10">
        <f t="shared" si="4"/>
        <v>1197700</v>
      </c>
      <c r="F31" s="4">
        <f>ROUNDUP(ESTUDIO!$D$19/C31,-2)</f>
        <v>124000</v>
      </c>
      <c r="G31" s="3">
        <f>(IF(ESTUDIO!$C$33=A31,F31,0))</f>
        <v>0</v>
      </c>
      <c r="H31" s="11">
        <f t="shared" si="5"/>
        <v>0</v>
      </c>
      <c r="J31" s="66">
        <f t="shared" si="6"/>
        <v>0</v>
      </c>
      <c r="K31" s="7">
        <f t="shared" si="8"/>
        <v>0</v>
      </c>
    </row>
    <row r="32" spans="1:11">
      <c r="A32" s="7">
        <f t="shared" si="7"/>
        <v>30</v>
      </c>
      <c r="B32" s="9">
        <f t="shared" si="1"/>
        <v>0.68888867211519489</v>
      </c>
      <c r="C32" s="8">
        <f t="shared" si="2"/>
        <v>24.888906230784407</v>
      </c>
      <c r="D32" s="10">
        <f t="shared" si="3"/>
        <v>40200</v>
      </c>
      <c r="E32" s="10">
        <f t="shared" si="4"/>
        <v>1206000</v>
      </c>
      <c r="F32" s="4">
        <f>ROUNDUP(ESTUDIO!$D$19/C32,-2)</f>
        <v>120600</v>
      </c>
      <c r="G32" s="3">
        <f>(IF(ESTUDIO!$C$33=A32,F32,0))</f>
        <v>0</v>
      </c>
      <c r="H32" s="11">
        <f t="shared" si="5"/>
        <v>0</v>
      </c>
      <c r="J32" s="66">
        <f t="shared" si="6"/>
        <v>0</v>
      </c>
      <c r="K32" s="7">
        <f t="shared" si="8"/>
        <v>0</v>
      </c>
    </row>
    <row r="33" spans="1:11">
      <c r="A33" s="7">
        <f t="shared" si="7"/>
        <v>31</v>
      </c>
      <c r="B33" s="9">
        <f t="shared" si="1"/>
        <v>0.68038387369401987</v>
      </c>
      <c r="C33" s="8">
        <f t="shared" si="2"/>
        <v>25.569290104478409</v>
      </c>
      <c r="D33" s="10">
        <f t="shared" si="3"/>
        <v>39100</v>
      </c>
      <c r="E33" s="10">
        <f t="shared" si="4"/>
        <v>1212100</v>
      </c>
      <c r="F33" s="4">
        <f>ROUNDUP(ESTUDIO!$D$19/C33,-2)</f>
        <v>117400</v>
      </c>
      <c r="G33" s="3">
        <f>(IF(ESTUDIO!$C$33=A33,F33,0))</f>
        <v>0</v>
      </c>
      <c r="H33" s="11">
        <f t="shared" si="5"/>
        <v>0</v>
      </c>
      <c r="J33" s="66">
        <f t="shared" si="6"/>
        <v>0</v>
      </c>
      <c r="K33" s="7">
        <f t="shared" si="8"/>
        <v>0</v>
      </c>
    </row>
    <row r="34" spans="1:11">
      <c r="A34" s="7">
        <f t="shared" si="7"/>
        <v>32</v>
      </c>
      <c r="B34" s="9">
        <f t="shared" si="1"/>
        <v>0.67198407278421701</v>
      </c>
      <c r="C34" s="8">
        <f t="shared" si="2"/>
        <v>26.241274177262639</v>
      </c>
      <c r="D34" s="10">
        <f t="shared" si="3"/>
        <v>38100</v>
      </c>
      <c r="E34" s="10">
        <f t="shared" si="4"/>
        <v>1219200</v>
      </c>
      <c r="F34" s="4">
        <f>ROUNDUP(ESTUDIO!$D$19/C34,-2)</f>
        <v>114400</v>
      </c>
      <c r="G34" s="3">
        <f>(IF(ESTUDIO!$C$33=A34,F34,0))</f>
        <v>0</v>
      </c>
      <c r="H34" s="11">
        <f t="shared" si="5"/>
        <v>0</v>
      </c>
      <c r="J34" s="66">
        <f t="shared" si="6"/>
        <v>0</v>
      </c>
      <c r="K34" s="7">
        <f t="shared" si="8"/>
        <v>0</v>
      </c>
    </row>
    <row r="35" spans="1:11">
      <c r="A35" s="7">
        <f t="shared" si="7"/>
        <v>33</v>
      </c>
      <c r="B35" s="9">
        <f t="shared" si="1"/>
        <v>0.66368797312021433</v>
      </c>
      <c r="C35" s="8">
        <f t="shared" si="2"/>
        <v>26.904962150382854</v>
      </c>
      <c r="D35" s="10">
        <f t="shared" si="3"/>
        <v>37200</v>
      </c>
      <c r="E35" s="10">
        <f t="shared" si="4"/>
        <v>1227600</v>
      </c>
      <c r="F35" s="4">
        <f>ROUNDUP(ESTUDIO!$D$19/C35,-2)</f>
        <v>111600</v>
      </c>
      <c r="G35" s="3">
        <f>(IF(ESTUDIO!$C$33=A35,F35,0))</f>
        <v>0</v>
      </c>
      <c r="H35" s="11">
        <f t="shared" si="5"/>
        <v>0</v>
      </c>
      <c r="J35" s="66">
        <f t="shared" si="6"/>
        <v>0</v>
      </c>
      <c r="K35" s="7">
        <f t="shared" si="8"/>
        <v>0</v>
      </c>
    </row>
    <row r="36" spans="1:11">
      <c r="A36" s="7">
        <f t="shared" si="7"/>
        <v>34</v>
      </c>
      <c r="B36" s="9">
        <f t="shared" si="1"/>
        <v>0.65549429443971785</v>
      </c>
      <c r="C36" s="8">
        <f t="shared" si="2"/>
        <v>27.56045644482257</v>
      </c>
      <c r="D36" s="10">
        <f t="shared" si="3"/>
        <v>36300</v>
      </c>
      <c r="E36" s="10">
        <f t="shared" si="4"/>
        <v>1234200</v>
      </c>
      <c r="F36" s="4">
        <f>ROUNDUP(ESTUDIO!$D$19/C36,-2)</f>
        <v>108900</v>
      </c>
      <c r="G36" s="3">
        <f>(IF(ESTUDIO!$C$33=A36,F36,0))</f>
        <v>0</v>
      </c>
      <c r="H36" s="11">
        <f t="shared" si="5"/>
        <v>0</v>
      </c>
      <c r="J36" s="66">
        <f t="shared" si="6"/>
        <v>0</v>
      </c>
      <c r="K36" s="7">
        <f t="shared" si="8"/>
        <v>0</v>
      </c>
    </row>
    <row r="37" spans="1:11">
      <c r="A37" s="7">
        <f t="shared" si="7"/>
        <v>35</v>
      </c>
      <c r="B37" s="9">
        <f t="shared" si="1"/>
        <v>0.64740177228614115</v>
      </c>
      <c r="C37" s="8">
        <f t="shared" si="2"/>
        <v>28.207858217108708</v>
      </c>
      <c r="D37" s="10">
        <f t="shared" si="3"/>
        <v>35500</v>
      </c>
      <c r="E37" s="10">
        <f t="shared" si="4"/>
        <v>1242500</v>
      </c>
      <c r="F37" s="4">
        <f>ROUNDUP(ESTUDIO!$D$19/C37,-2)</f>
        <v>106400</v>
      </c>
      <c r="G37" s="3">
        <f>(IF(ESTUDIO!$C$33=A37,F37,0))</f>
        <v>0</v>
      </c>
      <c r="H37" s="11">
        <f t="shared" si="5"/>
        <v>0</v>
      </c>
      <c r="J37" s="66">
        <f t="shared" si="6"/>
        <v>0</v>
      </c>
      <c r="K37" s="7">
        <f t="shared" si="8"/>
        <v>0</v>
      </c>
    </row>
    <row r="38" spans="1:11">
      <c r="A38" s="7">
        <f t="shared" si="7"/>
        <v>36</v>
      </c>
      <c r="B38" s="9">
        <f t="shared" si="1"/>
        <v>0.63940915781347274</v>
      </c>
      <c r="C38" s="8">
        <f t="shared" si="2"/>
        <v>28.847267374922179</v>
      </c>
      <c r="D38" s="10">
        <f t="shared" si="3"/>
        <v>34700</v>
      </c>
      <c r="E38" s="10">
        <f t="shared" si="4"/>
        <v>1249200</v>
      </c>
      <c r="F38" s="4">
        <f>ROUNDUP(ESTUDIO!$D$19/C38,-2)</f>
        <v>104000</v>
      </c>
      <c r="G38" s="3">
        <f>(IF(ESTUDIO!$C$33=A38,F38,0))</f>
        <v>0</v>
      </c>
      <c r="H38" s="11">
        <f t="shared" si="5"/>
        <v>0</v>
      </c>
      <c r="J38" s="66">
        <f t="shared" si="6"/>
        <v>0</v>
      </c>
      <c r="K38" s="7">
        <f t="shared" si="8"/>
        <v>0</v>
      </c>
    </row>
    <row r="39" spans="1:11">
      <c r="A39" s="7">
        <f t="shared" si="7"/>
        <v>37</v>
      </c>
      <c r="B39" s="9">
        <f t="shared" si="1"/>
        <v>0.63151521759355334</v>
      </c>
      <c r="C39" s="8">
        <f t="shared" si="2"/>
        <v>29.478782592515731</v>
      </c>
      <c r="D39" s="10">
        <f t="shared" si="3"/>
        <v>33900</v>
      </c>
      <c r="E39" s="10">
        <f t="shared" si="4"/>
        <v>1254300</v>
      </c>
      <c r="F39" s="4">
        <f>ROUNDUP(ESTUDIO!$D$19/C39,-2)</f>
        <v>101800</v>
      </c>
      <c r="G39" s="3">
        <f>(IF(ESTUDIO!$C$33=A39,F39,0))</f>
        <v>0</v>
      </c>
      <c r="H39" s="11">
        <f t="shared" si="5"/>
        <v>0</v>
      </c>
      <c r="J39" s="66">
        <f t="shared" si="6"/>
        <v>0</v>
      </c>
      <c r="K39" s="7">
        <f t="shared" si="8"/>
        <v>0</v>
      </c>
    </row>
    <row r="40" spans="1:11">
      <c r="A40" s="7">
        <f t="shared" si="7"/>
        <v>38</v>
      </c>
      <c r="B40" s="9">
        <f t="shared" si="1"/>
        <v>0.6237187334257317</v>
      </c>
      <c r="C40" s="8">
        <f t="shared" si="2"/>
        <v>30.102501325941464</v>
      </c>
      <c r="D40" s="10">
        <f t="shared" si="3"/>
        <v>33200</v>
      </c>
      <c r="E40" s="10">
        <f t="shared" si="4"/>
        <v>1261600</v>
      </c>
      <c r="F40" s="4">
        <f>ROUNDUP(ESTUDIO!$D$19/C40,-2)</f>
        <v>99700</v>
      </c>
      <c r="G40" s="3">
        <f>(IF(ESTUDIO!$C$33=A40,F40,0))</f>
        <v>0</v>
      </c>
      <c r="H40" s="11">
        <f t="shared" si="5"/>
        <v>0</v>
      </c>
      <c r="J40" s="66">
        <f t="shared" si="6"/>
        <v>0</v>
      </c>
      <c r="K40" s="7">
        <f t="shared" si="8"/>
        <v>0</v>
      </c>
    </row>
    <row r="41" spans="1:11">
      <c r="A41" s="7">
        <f t="shared" si="7"/>
        <v>39</v>
      </c>
      <c r="B41" s="9">
        <f t="shared" si="1"/>
        <v>0.61601850214887088</v>
      </c>
      <c r="C41" s="8">
        <f t="shared" si="2"/>
        <v>30.718519828090329</v>
      </c>
      <c r="D41" s="10">
        <f t="shared" si="3"/>
        <v>32600</v>
      </c>
      <c r="E41" s="10">
        <f t="shared" si="4"/>
        <v>1271400</v>
      </c>
      <c r="F41" s="4">
        <f>ROUNDUP(ESTUDIO!$D$19/C41,-2)</f>
        <v>97700</v>
      </c>
      <c r="G41" s="3">
        <f>(IF(ESTUDIO!$C$33=A41,F41,0))</f>
        <v>0</v>
      </c>
      <c r="H41" s="11">
        <f t="shared" si="5"/>
        <v>0</v>
      </c>
      <c r="J41" s="66">
        <f t="shared" si="6"/>
        <v>0</v>
      </c>
      <c r="K41" s="7">
        <f t="shared" si="8"/>
        <v>0</v>
      </c>
    </row>
    <row r="42" spans="1:11">
      <c r="A42" s="7">
        <f t="shared" si="7"/>
        <v>40</v>
      </c>
      <c r="B42" s="9">
        <f t="shared" si="1"/>
        <v>0.60841333545567489</v>
      </c>
      <c r="C42" s="8">
        <f t="shared" si="2"/>
        <v>31.326933163546009</v>
      </c>
      <c r="D42" s="10">
        <f t="shared" si="3"/>
        <v>31900</v>
      </c>
      <c r="E42" s="10">
        <f t="shared" si="4"/>
        <v>1276000</v>
      </c>
      <c r="F42" s="4">
        <f>ROUNDUP(ESTUDIO!$D$19/C42,-2)</f>
        <v>95800</v>
      </c>
      <c r="G42" s="3">
        <f>(IF(ESTUDIO!$C$33=A42,F42,0))</f>
        <v>0</v>
      </c>
      <c r="H42" s="11">
        <f t="shared" si="5"/>
        <v>0</v>
      </c>
      <c r="J42" s="66">
        <f t="shared" si="6"/>
        <v>0</v>
      </c>
      <c r="K42" s="7">
        <f t="shared" si="8"/>
        <v>0</v>
      </c>
    </row>
    <row r="43" spans="1:11">
      <c r="A43" s="7">
        <f t="shared" si="7"/>
        <v>41</v>
      </c>
      <c r="B43" s="9">
        <f t="shared" si="1"/>
        <v>0.60090205970930854</v>
      </c>
      <c r="C43" s="8">
        <f t="shared" si="2"/>
        <v>31.927835223255315</v>
      </c>
      <c r="D43" s="10">
        <f t="shared" si="3"/>
        <v>31300</v>
      </c>
      <c r="E43" s="10">
        <f t="shared" si="4"/>
        <v>1283300</v>
      </c>
      <c r="F43" s="4">
        <f>ROUNDUP(ESTUDIO!$D$19/C43,-2)</f>
        <v>94000</v>
      </c>
      <c r="G43" s="3">
        <f>(IF(ESTUDIO!$C$33=A43,F43,0))</f>
        <v>0</v>
      </c>
      <c r="H43" s="11">
        <f t="shared" si="5"/>
        <v>0</v>
      </c>
      <c r="J43" s="66">
        <f t="shared" si="6"/>
        <v>0</v>
      </c>
      <c r="K43" s="7">
        <f t="shared" si="8"/>
        <v>0</v>
      </c>
    </row>
    <row r="44" spans="1:11">
      <c r="A44" s="7">
        <f t="shared" si="7"/>
        <v>42</v>
      </c>
      <c r="B44" s="9">
        <f t="shared" si="1"/>
        <v>0.59348351576227998</v>
      </c>
      <c r="C44" s="8">
        <f t="shared" si="2"/>
        <v>32.521318739017602</v>
      </c>
      <c r="D44" s="10">
        <f t="shared" si="3"/>
        <v>30700</v>
      </c>
      <c r="E44" s="10">
        <f t="shared" si="4"/>
        <v>1289400</v>
      </c>
      <c r="F44" s="4">
        <f>ROUNDUP(ESTUDIO!$D$19/C44,-2)</f>
        <v>92300</v>
      </c>
      <c r="G44" s="3">
        <f>(IF(ESTUDIO!$C$33=A44,F44,0))</f>
        <v>0</v>
      </c>
      <c r="H44" s="11">
        <f t="shared" si="5"/>
        <v>0</v>
      </c>
      <c r="J44" s="66">
        <f t="shared" si="6"/>
        <v>0</v>
      </c>
      <c r="K44" s="7">
        <f t="shared" si="8"/>
        <v>0</v>
      </c>
    </row>
    <row r="45" spans="1:11">
      <c r="A45" s="7">
        <f t="shared" si="7"/>
        <v>43</v>
      </c>
      <c r="B45" s="9">
        <f t="shared" si="1"/>
        <v>0.58615655877756057</v>
      </c>
      <c r="C45" s="8">
        <f t="shared" si="2"/>
        <v>33.107475297795155</v>
      </c>
      <c r="D45" s="10">
        <f t="shared" si="3"/>
        <v>30200</v>
      </c>
      <c r="E45" s="10">
        <f t="shared" si="4"/>
        <v>1298600</v>
      </c>
      <c r="F45" s="4">
        <f>ROUNDUP(ESTUDIO!$D$19/C45,-2)</f>
        <v>90700</v>
      </c>
      <c r="G45" s="3">
        <f>(IF(ESTUDIO!$C$33=A45,F45,0))</f>
        <v>0</v>
      </c>
      <c r="H45" s="11">
        <f t="shared" si="5"/>
        <v>0</v>
      </c>
      <c r="J45" s="66">
        <f t="shared" si="6"/>
        <v>0</v>
      </c>
      <c r="K45" s="7">
        <f t="shared" si="8"/>
        <v>0</v>
      </c>
    </row>
    <row r="46" spans="1:11">
      <c r="A46" s="7">
        <f t="shared" si="7"/>
        <v>44</v>
      </c>
      <c r="B46" s="9">
        <f t="shared" si="1"/>
        <v>0.5789200580519116</v>
      </c>
      <c r="C46" s="8">
        <f t="shared" si="2"/>
        <v>33.686395355847068</v>
      </c>
      <c r="D46" s="10">
        <f t="shared" si="3"/>
        <v>29700</v>
      </c>
      <c r="E46" s="10">
        <f t="shared" si="4"/>
        <v>1306800</v>
      </c>
      <c r="F46" s="4">
        <f>ROUNDUP(ESTUDIO!$D$19/C46,-2)</f>
        <v>89100</v>
      </c>
      <c r="G46" s="3">
        <f>(IF(ESTUDIO!$C$33=A46,F46,0))</f>
        <v>0</v>
      </c>
      <c r="H46" s="11">
        <f t="shared" si="5"/>
        <v>0</v>
      </c>
      <c r="J46" s="66">
        <f t="shared" si="6"/>
        <v>0</v>
      </c>
      <c r="K46" s="7">
        <f t="shared" si="8"/>
        <v>0</v>
      </c>
    </row>
    <row r="47" spans="1:11">
      <c r="A47" s="7">
        <f t="shared" si="7"/>
        <v>45</v>
      </c>
      <c r="B47" s="9">
        <f t="shared" si="1"/>
        <v>0.57177289684139432</v>
      </c>
      <c r="C47" s="8">
        <f t="shared" si="2"/>
        <v>34.258168252688449</v>
      </c>
      <c r="D47" s="10">
        <f t="shared" si="3"/>
        <v>29200</v>
      </c>
      <c r="E47" s="10">
        <f t="shared" si="4"/>
        <v>1314000</v>
      </c>
      <c r="F47" s="4">
        <f>ROUNDUP(ESTUDIO!$D$19/C47,-2)</f>
        <v>87600</v>
      </c>
      <c r="G47" s="3">
        <f>(IF(ESTUDIO!$C$33=A47,F47,0))</f>
        <v>0</v>
      </c>
      <c r="H47" s="11">
        <f t="shared" si="5"/>
        <v>0</v>
      </c>
      <c r="J47" s="66">
        <f t="shared" si="6"/>
        <v>0</v>
      </c>
      <c r="K47" s="7">
        <f t="shared" si="8"/>
        <v>0</v>
      </c>
    </row>
    <row r="48" spans="1:11">
      <c r="A48" s="7">
        <f t="shared" si="7"/>
        <v>46</v>
      </c>
      <c r="B48" s="9">
        <f t="shared" si="1"/>
        <v>0.5647139721890313</v>
      </c>
      <c r="C48" s="8">
        <f t="shared" si="2"/>
        <v>34.822882224877496</v>
      </c>
      <c r="D48" s="10">
        <f t="shared" si="3"/>
        <v>28700</v>
      </c>
      <c r="E48" s="10">
        <f t="shared" si="4"/>
        <v>1320200</v>
      </c>
      <c r="F48" s="4">
        <f>ROUNDUP(ESTUDIO!$D$19/C48,-2)</f>
        <v>86200</v>
      </c>
      <c r="G48" s="3">
        <f>(IF(ESTUDIO!$C$33=A48,F48,0))</f>
        <v>0</v>
      </c>
      <c r="H48" s="11">
        <f t="shared" si="5"/>
        <v>0</v>
      </c>
      <c r="J48" s="66">
        <f t="shared" si="6"/>
        <v>0</v>
      </c>
      <c r="K48" s="7">
        <f t="shared" si="8"/>
        <v>0</v>
      </c>
    </row>
    <row r="49" spans="1:11">
      <c r="A49" s="7">
        <f t="shared" si="7"/>
        <v>47</v>
      </c>
      <c r="B49" s="9">
        <f t="shared" si="1"/>
        <v>0.55774219475459896</v>
      </c>
      <c r="C49" s="8">
        <f t="shared" si="2"/>
        <v>35.380624419632078</v>
      </c>
      <c r="D49" s="10">
        <f t="shared" si="3"/>
        <v>28300</v>
      </c>
      <c r="E49" s="10">
        <f t="shared" si="4"/>
        <v>1330100</v>
      </c>
      <c r="F49" s="4">
        <f>ROUNDUP(ESTUDIO!$D$19/C49,-2)</f>
        <v>84800</v>
      </c>
      <c r="G49" s="3">
        <f>(IF(ESTUDIO!$C$33=A49,F49,0))</f>
        <v>0</v>
      </c>
      <c r="H49" s="11">
        <f t="shared" si="5"/>
        <v>0</v>
      </c>
      <c r="J49" s="66">
        <f t="shared" si="6"/>
        <v>0</v>
      </c>
      <c r="K49" s="7">
        <f t="shared" si="8"/>
        <v>0</v>
      </c>
    </row>
    <row r="50" spans="1:11">
      <c r="A50" s="7">
        <f t="shared" si="7"/>
        <v>48</v>
      </c>
      <c r="B50" s="9">
        <f t="shared" si="1"/>
        <v>0.55085648864651737</v>
      </c>
      <c r="C50" s="8">
        <f t="shared" si="2"/>
        <v>35.931480908278608</v>
      </c>
      <c r="D50" s="10">
        <f t="shared" si="3"/>
        <v>27800</v>
      </c>
      <c r="E50" s="10">
        <f t="shared" si="4"/>
        <v>1334400</v>
      </c>
      <c r="F50" s="4">
        <f>ROUNDUP(ESTUDIO!$D$19/C50,-2)</f>
        <v>83500</v>
      </c>
      <c r="G50" s="3">
        <f>(IF(ESTUDIO!$C$33=A50,F50,0))</f>
        <v>0</v>
      </c>
      <c r="H50" s="11">
        <f t="shared" si="5"/>
        <v>0</v>
      </c>
      <c r="J50" s="66">
        <f t="shared" si="6"/>
        <v>0</v>
      </c>
      <c r="K50" s="7">
        <f t="shared" si="8"/>
        <v>0</v>
      </c>
    </row>
    <row r="51" spans="1:11">
      <c r="A51" s="7">
        <f t="shared" si="7"/>
        <v>49</v>
      </c>
      <c r="B51" s="9">
        <f t="shared" si="1"/>
        <v>0.54405579125581971</v>
      </c>
      <c r="C51" s="8">
        <f t="shared" si="2"/>
        <v>36.475536699534423</v>
      </c>
      <c r="D51" s="10">
        <f t="shared" si="3"/>
        <v>27400</v>
      </c>
      <c r="E51" s="10">
        <f t="shared" si="4"/>
        <v>1342600</v>
      </c>
      <c r="F51" s="4">
        <f>ROUNDUP(ESTUDIO!$D$19/C51,-2)</f>
        <v>82300</v>
      </c>
      <c r="G51" s="3">
        <f>(IF(ESTUDIO!$C$33=A51,F51,0))</f>
        <v>0</v>
      </c>
      <c r="H51" s="11">
        <f t="shared" si="5"/>
        <v>0</v>
      </c>
      <c r="J51" s="66">
        <f t="shared" si="6"/>
        <v>0</v>
      </c>
      <c r="K51" s="7">
        <f t="shared" si="8"/>
        <v>0</v>
      </c>
    </row>
    <row r="52" spans="1:11">
      <c r="A52" s="7">
        <f t="shared" si="7"/>
        <v>50</v>
      </c>
      <c r="B52" s="9">
        <f t="shared" si="1"/>
        <v>0.53733905309216745</v>
      </c>
      <c r="C52" s="8">
        <f t="shared" si="2"/>
        <v>37.012875752626599</v>
      </c>
      <c r="D52" s="10">
        <f t="shared" si="3"/>
        <v>27000</v>
      </c>
      <c r="E52" s="10">
        <f t="shared" si="4"/>
        <v>1350000</v>
      </c>
      <c r="F52" s="4">
        <f>ROUNDUP(ESTUDIO!$D$19/C52,-2)</f>
        <v>81100</v>
      </c>
      <c r="G52" s="3">
        <f>(IF(ESTUDIO!$C$33=A52,F52,0))</f>
        <v>0</v>
      </c>
      <c r="H52" s="11">
        <f t="shared" si="5"/>
        <v>0</v>
      </c>
      <c r="J52" s="66">
        <f t="shared" si="6"/>
        <v>0</v>
      </c>
      <c r="K52" s="7">
        <f t="shared" si="8"/>
        <v>0</v>
      </c>
    </row>
    <row r="53" spans="1:11">
      <c r="A53" s="7">
        <f t="shared" si="7"/>
        <v>51</v>
      </c>
      <c r="B53" s="9">
        <f t="shared" si="1"/>
        <v>0.53070523762189392</v>
      </c>
      <c r="C53" s="8">
        <f t="shared" si="2"/>
        <v>37.543580990248486</v>
      </c>
      <c r="D53" s="10">
        <f t="shared" si="3"/>
        <v>26600</v>
      </c>
      <c r="E53" s="10">
        <f t="shared" si="4"/>
        <v>1356600</v>
      </c>
      <c r="F53" s="4">
        <f>ROUNDUP(ESTUDIO!$D$19/C53,-2)</f>
        <v>80000</v>
      </c>
      <c r="G53" s="3">
        <f>(IF(ESTUDIO!$C$33=A53,F53,0))</f>
        <v>0</v>
      </c>
      <c r="H53" s="11">
        <f t="shared" si="5"/>
        <v>0</v>
      </c>
      <c r="J53" s="66">
        <f t="shared" si="6"/>
        <v>0</v>
      </c>
      <c r="K53" s="7">
        <f t="shared" si="8"/>
        <v>0</v>
      </c>
    </row>
    <row r="54" spans="1:11">
      <c r="A54" s="7">
        <f t="shared" si="7"/>
        <v>52</v>
      </c>
      <c r="B54" s="9">
        <f t="shared" si="1"/>
        <v>0.52415332110804336</v>
      </c>
      <c r="C54" s="8">
        <f t="shared" si="2"/>
        <v>38.067734311356531</v>
      </c>
      <c r="D54" s="10">
        <f t="shared" si="3"/>
        <v>26300</v>
      </c>
      <c r="E54" s="10">
        <f t="shared" si="4"/>
        <v>1367600</v>
      </c>
      <c r="F54" s="4">
        <f>ROUNDUP(ESTUDIO!$D$19/C54,-2)</f>
        <v>78900</v>
      </c>
      <c r="G54" s="3">
        <f>(IF(ESTUDIO!$C$33=A54,F54,0))</f>
        <v>0</v>
      </c>
      <c r="H54" s="11">
        <f t="shared" si="5"/>
        <v>0</v>
      </c>
      <c r="J54" s="66">
        <f t="shared" si="6"/>
        <v>0</v>
      </c>
      <c r="K54" s="7">
        <f t="shared" si="8"/>
        <v>0</v>
      </c>
    </row>
    <row r="55" spans="1:11">
      <c r="A55" s="7">
        <f t="shared" si="7"/>
        <v>53</v>
      </c>
      <c r="B55" s="9">
        <f t="shared" si="1"/>
        <v>0.51768229245238861</v>
      </c>
      <c r="C55" s="8">
        <f t="shared" si="2"/>
        <v>38.585416603808909</v>
      </c>
      <c r="D55" s="10">
        <f t="shared" si="3"/>
        <v>25900</v>
      </c>
      <c r="E55" s="10">
        <f t="shared" si="4"/>
        <v>1372700</v>
      </c>
      <c r="F55" s="4">
        <f>ROUNDUP(ESTUDIO!$D$19/C55,-2)</f>
        <v>77800</v>
      </c>
      <c r="G55" s="3">
        <f>(IF(ESTUDIO!$C$33=A55,F55,0))</f>
        <v>0</v>
      </c>
      <c r="H55" s="11">
        <f t="shared" si="5"/>
        <v>0</v>
      </c>
      <c r="J55" s="66">
        <f t="shared" si="6"/>
        <v>0</v>
      </c>
      <c r="K55" s="7">
        <f t="shared" si="8"/>
        <v>0</v>
      </c>
    </row>
    <row r="56" spans="1:11">
      <c r="A56" s="7">
        <f t="shared" si="7"/>
        <v>54</v>
      </c>
      <c r="B56" s="9">
        <f t="shared" si="1"/>
        <v>0.5112911530393961</v>
      </c>
      <c r="C56" s="8">
        <f t="shared" si="2"/>
        <v>39.096707756848311</v>
      </c>
      <c r="D56" s="10">
        <f t="shared" si="3"/>
        <v>25600</v>
      </c>
      <c r="E56" s="10">
        <f t="shared" si="4"/>
        <v>1382400</v>
      </c>
      <c r="F56" s="4">
        <f>ROUNDUP(ESTUDIO!$D$19/C56,-2)</f>
        <v>76800</v>
      </c>
      <c r="G56" s="3">
        <f>(IF(ESTUDIO!$C$33=A56,F56,0))</f>
        <v>0</v>
      </c>
      <c r="H56" s="11">
        <f t="shared" si="5"/>
        <v>0</v>
      </c>
      <c r="J56" s="66">
        <f t="shared" si="6"/>
        <v>0</v>
      </c>
      <c r="K56" s="7">
        <f t="shared" si="8"/>
        <v>0</v>
      </c>
    </row>
    <row r="57" spans="1:11">
      <c r="A57" s="7">
        <f t="shared" si="7"/>
        <v>55</v>
      </c>
      <c r="B57" s="9">
        <f t="shared" si="1"/>
        <v>0.50497891658211969</v>
      </c>
      <c r="C57" s="8">
        <f t="shared" si="2"/>
        <v>39.601686673430422</v>
      </c>
      <c r="D57" s="10">
        <f t="shared" si="3"/>
        <v>25300</v>
      </c>
      <c r="E57" s="10">
        <f t="shared" si="4"/>
        <v>1391500</v>
      </c>
      <c r="F57" s="4">
        <f>ROUNDUP(ESTUDIO!$D$19/C57,-2)</f>
        <v>75800</v>
      </c>
      <c r="G57" s="3">
        <f>(IF(ESTUDIO!$C$33=A57,F57,0))</f>
        <v>0</v>
      </c>
      <c r="H57" s="11">
        <f t="shared" si="5"/>
        <v>0</v>
      </c>
      <c r="J57" s="66">
        <f t="shared" si="6"/>
        <v>0</v>
      </c>
      <c r="K57" s="7">
        <f t="shared" si="8"/>
        <v>0</v>
      </c>
    </row>
    <row r="58" spans="1:11">
      <c r="A58" s="7">
        <f t="shared" si="7"/>
        <v>56</v>
      </c>
      <c r="B58" s="9">
        <f t="shared" si="1"/>
        <v>0.49874460896999473</v>
      </c>
      <c r="C58" s="8">
        <f t="shared" si="2"/>
        <v>40.100431282400422</v>
      </c>
      <c r="D58" s="10">
        <f t="shared" si="3"/>
        <v>24900</v>
      </c>
      <c r="E58" s="10">
        <f t="shared" si="4"/>
        <v>1394400</v>
      </c>
      <c r="F58" s="4">
        <f>ROUNDUP(ESTUDIO!$D$19/C58,-2)</f>
        <v>74900</v>
      </c>
      <c r="G58" s="3">
        <f>(IF(ESTUDIO!$C$33=A58,F58,0))</f>
        <v>0</v>
      </c>
      <c r="H58" s="11">
        <f t="shared" si="5"/>
        <v>0</v>
      </c>
      <c r="J58" s="66">
        <f t="shared" si="6"/>
        <v>0</v>
      </c>
      <c r="K58" s="7">
        <f t="shared" si="8"/>
        <v>0</v>
      </c>
    </row>
    <row r="59" spans="1:11">
      <c r="A59" s="7">
        <f t="shared" si="7"/>
        <v>57</v>
      </c>
      <c r="B59" s="9">
        <f t="shared" si="1"/>
        <v>0.49258726811851333</v>
      </c>
      <c r="C59" s="8">
        <f t="shared" si="2"/>
        <v>40.593018550518934</v>
      </c>
      <c r="D59" s="10">
        <f t="shared" si="3"/>
        <v>24600</v>
      </c>
      <c r="E59" s="10">
        <f t="shared" si="4"/>
        <v>1402200</v>
      </c>
      <c r="F59" s="4">
        <f>ROUNDUP(ESTUDIO!$D$19/C59,-2)</f>
        <v>74000</v>
      </c>
      <c r="G59" s="3">
        <f>(IF(ESTUDIO!$C$33=A59,F59,0))</f>
        <v>0</v>
      </c>
      <c r="H59" s="11">
        <f t="shared" si="5"/>
        <v>0</v>
      </c>
      <c r="J59" s="66">
        <f t="shared" si="6"/>
        <v>0</v>
      </c>
      <c r="K59" s="7">
        <f t="shared" si="8"/>
        <v>0</v>
      </c>
    </row>
    <row r="60" spans="1:11">
      <c r="A60" s="7">
        <f t="shared" si="7"/>
        <v>58</v>
      </c>
      <c r="B60" s="9">
        <f t="shared" si="1"/>
        <v>0.48650594382075374</v>
      </c>
      <c r="C60" s="8">
        <f t="shared" si="2"/>
        <v>41.079524494339701</v>
      </c>
      <c r="D60" s="10">
        <f t="shared" si="3"/>
        <v>24300</v>
      </c>
      <c r="E60" s="10">
        <f t="shared" si="4"/>
        <v>1409400</v>
      </c>
      <c r="F60" s="4">
        <f>ROUNDUP(ESTUDIO!$D$19/C60,-2)</f>
        <v>73100</v>
      </c>
      <c r="G60" s="3">
        <f>(IF(ESTUDIO!$C$33=A60,F60,0))</f>
        <v>0</v>
      </c>
      <c r="H60" s="11">
        <f t="shared" si="5"/>
        <v>0</v>
      </c>
      <c r="J60" s="66">
        <f t="shared" si="6"/>
        <v>0</v>
      </c>
      <c r="K60" s="7">
        <f t="shared" si="8"/>
        <v>0</v>
      </c>
    </row>
    <row r="61" spans="1:11">
      <c r="A61" s="7">
        <f t="shared" si="7"/>
        <v>59</v>
      </c>
      <c r="B61" s="9">
        <f t="shared" si="1"/>
        <v>0.48049969760074462</v>
      </c>
      <c r="C61" s="8">
        <f t="shared" si="2"/>
        <v>41.560024191940428</v>
      </c>
      <c r="D61" s="10">
        <f t="shared" si="3"/>
        <v>24100</v>
      </c>
      <c r="E61" s="10">
        <f t="shared" si="4"/>
        <v>1421900</v>
      </c>
      <c r="F61" s="4">
        <f>ROUNDUP(ESTUDIO!$D$19/C61,-2)</f>
        <v>72200</v>
      </c>
      <c r="G61" s="3">
        <f>(IF(ESTUDIO!$C$33=A61,F61,0))</f>
        <v>0</v>
      </c>
      <c r="H61" s="11">
        <f t="shared" si="5"/>
        <v>0</v>
      </c>
      <c r="J61" s="66">
        <f t="shared" si="6"/>
        <v>0</v>
      </c>
      <c r="K61" s="7">
        <f t="shared" si="8"/>
        <v>0</v>
      </c>
    </row>
    <row r="62" spans="1:11">
      <c r="A62" s="7">
        <f t="shared" si="7"/>
        <v>60</v>
      </c>
      <c r="B62" s="9">
        <f t="shared" si="1"/>
        <v>0.47456760256863662</v>
      </c>
      <c r="C62" s="8">
        <f t="shared" si="2"/>
        <v>42.034591794509069</v>
      </c>
      <c r="D62" s="10">
        <f t="shared" si="3"/>
        <v>23800</v>
      </c>
      <c r="E62" s="10">
        <f t="shared" si="4"/>
        <v>1428000</v>
      </c>
      <c r="F62" s="4">
        <f>ROUNDUP(ESTUDIO!$D$19/C62,-2)</f>
        <v>71400</v>
      </c>
      <c r="G62" s="3">
        <f>(IF(ESTUDIO!$C$33=A62,F62,0))</f>
        <v>0</v>
      </c>
      <c r="H62" s="11">
        <f t="shared" si="5"/>
        <v>0</v>
      </c>
      <c r="J62" s="66">
        <f t="shared" si="6"/>
        <v>0</v>
      </c>
      <c r="K62" s="7">
        <f t="shared" si="8"/>
        <v>0</v>
      </c>
    </row>
    <row r="63" spans="1:11">
      <c r="A63" s="7">
        <f t="shared" si="7"/>
        <v>61</v>
      </c>
      <c r="B63" s="9">
        <f t="shared" si="1"/>
        <v>0.46870874327766587</v>
      </c>
      <c r="C63" s="8">
        <f t="shared" si="2"/>
        <v>42.503300537786728</v>
      </c>
      <c r="D63" s="10">
        <f t="shared" si="3"/>
        <v>23500</v>
      </c>
      <c r="E63" s="10">
        <f t="shared" si="4"/>
        <v>1433500</v>
      </c>
      <c r="F63" s="4">
        <f>ROUNDUP(ESTUDIO!$D$19/C63,-2)</f>
        <v>70600</v>
      </c>
      <c r="G63" s="3">
        <f>(IF(ESTUDIO!$C$33=A63,F63,0))</f>
        <v>0</v>
      </c>
      <c r="H63" s="11">
        <f t="shared" si="5"/>
        <v>0</v>
      </c>
      <c r="J63" s="66">
        <f t="shared" si="6"/>
        <v>0</v>
      </c>
      <c r="K63" s="7">
        <f t="shared" si="8"/>
        <v>0</v>
      </c>
    </row>
    <row r="64" spans="1:11">
      <c r="A64" s="7">
        <f t="shared" si="7"/>
        <v>62</v>
      </c>
      <c r="B64" s="9">
        <f t="shared" si="1"/>
        <v>0.46292221558287977</v>
      </c>
      <c r="C64" s="8">
        <f t="shared" si="2"/>
        <v>42.966222753369614</v>
      </c>
      <c r="D64" s="10">
        <f t="shared" si="3"/>
        <v>23300</v>
      </c>
      <c r="E64" s="10">
        <f t="shared" si="4"/>
        <v>1444600</v>
      </c>
      <c r="F64" s="4">
        <f>ROUNDUP(ESTUDIO!$D$19/C64,-2)</f>
        <v>69900</v>
      </c>
      <c r="G64" s="3">
        <f>(IF(ESTUDIO!$C$33=A64,F64,0))</f>
        <v>0</v>
      </c>
      <c r="H64" s="11">
        <f t="shared" si="5"/>
        <v>0</v>
      </c>
      <c r="J64" s="66">
        <f t="shared" si="6"/>
        <v>0</v>
      </c>
      <c r="K64" s="7">
        <f t="shared" si="8"/>
        <v>0</v>
      </c>
    </row>
    <row r="65" spans="1:11">
      <c r="A65" s="7">
        <f t="shared" si="7"/>
        <v>63</v>
      </c>
      <c r="B65" s="9">
        <f t="shared" si="1"/>
        <v>0.45720712650160972</v>
      </c>
      <c r="C65" s="8">
        <f t="shared" si="2"/>
        <v>43.423429879871215</v>
      </c>
      <c r="D65" s="10">
        <f t="shared" si="3"/>
        <v>23000</v>
      </c>
      <c r="E65" s="10">
        <f t="shared" si="4"/>
        <v>1449000</v>
      </c>
      <c r="F65" s="4">
        <f>ROUNDUP(ESTUDIO!$D$19/C65,-2)</f>
        <v>69100</v>
      </c>
      <c r="G65" s="3">
        <f>(IF(ESTUDIO!$C$33=A65,F65,0))</f>
        <v>0</v>
      </c>
      <c r="H65" s="11">
        <f t="shared" si="5"/>
        <v>0</v>
      </c>
      <c r="J65" s="66">
        <f t="shared" si="6"/>
        <v>0</v>
      </c>
      <c r="K65" s="7">
        <f t="shared" si="8"/>
        <v>0</v>
      </c>
    </row>
    <row r="66" spans="1:11">
      <c r="A66" s="7">
        <f t="shared" si="7"/>
        <v>64</v>
      </c>
      <c r="B66" s="9">
        <f t="shared" si="1"/>
        <v>0.45156259407566385</v>
      </c>
      <c r="C66" s="8">
        <f t="shared" si="2"/>
        <v>43.874992473946897</v>
      </c>
      <c r="D66" s="10">
        <f t="shared" si="3"/>
        <v>22800</v>
      </c>
      <c r="E66" s="10">
        <f t="shared" si="4"/>
        <v>1459200</v>
      </c>
      <c r="F66" s="4">
        <f>ROUNDUP(ESTUDIO!$D$19/C66,-2)</f>
        <v>68400</v>
      </c>
      <c r="G66" s="3">
        <f>(IF(ESTUDIO!$C$33=A66,F66,0))</f>
        <v>0</v>
      </c>
      <c r="H66" s="11">
        <f t="shared" si="5"/>
        <v>0</v>
      </c>
      <c r="J66" s="66">
        <f t="shared" si="6"/>
        <v>0</v>
      </c>
      <c r="K66" s="7">
        <f t="shared" si="8"/>
        <v>0</v>
      </c>
    </row>
    <row r="67" spans="1:11">
      <c r="A67" s="7">
        <f t="shared" si="7"/>
        <v>65</v>
      </c>
      <c r="B67" s="9">
        <f t="shared" si="1"/>
        <v>0.44598774723522355</v>
      </c>
      <c r="C67" s="8">
        <f t="shared" si="2"/>
        <v>44.320980221182111</v>
      </c>
      <c r="D67" s="10">
        <f t="shared" si="3"/>
        <v>22600</v>
      </c>
      <c r="E67" s="10">
        <f t="shared" si="4"/>
        <v>1469000</v>
      </c>
      <c r="F67" s="4">
        <f>ROUNDUP(ESTUDIO!$D$19/C67,-2)</f>
        <v>67700</v>
      </c>
      <c r="G67" s="3">
        <f>(IF(ESTUDIO!$C$33=A67,F67,0))</f>
        <v>0</v>
      </c>
      <c r="H67" s="11">
        <f t="shared" si="5"/>
        <v>0</v>
      </c>
      <c r="J67" s="66">
        <f t="shared" si="6"/>
        <v>0</v>
      </c>
      <c r="K67" s="7">
        <f t="shared" ref="K67:K102" si="9">ROUNDUP(J67/12,3)</f>
        <v>0</v>
      </c>
    </row>
    <row r="68" spans="1:11">
      <c r="A68" s="7">
        <f t="shared" si="7"/>
        <v>66</v>
      </c>
      <c r="B68" s="9">
        <f t="shared" ref="B68:B102" si="10">(1+$B$2)^-A68</f>
        <v>0.44048172566441834</v>
      </c>
      <c r="C68" s="8">
        <f t="shared" ref="C68:C102" si="11">(1-B68)/$B$2</f>
        <v>44.761461946846531</v>
      </c>
      <c r="D68" s="10">
        <f t="shared" ref="D68:D102" si="12">ROUND(1000000/C68,-2)</f>
        <v>22300</v>
      </c>
      <c r="E68" s="10">
        <f t="shared" ref="E68:E102" si="13">(D68*A68)</f>
        <v>1471800</v>
      </c>
      <c r="F68" s="4">
        <f>ROUNDUP(ESTUDIO!$D$19/C68,-2)</f>
        <v>67100</v>
      </c>
      <c r="G68" s="3">
        <f>(IF(ESTUDIO!$C$33=A68,F68,0))</f>
        <v>0</v>
      </c>
      <c r="H68" s="11">
        <f t="shared" ref="H68:H102" si="14">IF(G68&gt;0,A68,0)</f>
        <v>0</v>
      </c>
      <c r="J68" s="66">
        <f t="shared" ref="J68:J102" si="15">IF(H68&gt;0,TASA.NOMINAL($I$2,H68),0)*100</f>
        <v>0</v>
      </c>
      <c r="K68" s="7">
        <f t="shared" si="9"/>
        <v>0</v>
      </c>
    </row>
    <row r="69" spans="1:11">
      <c r="A69" s="7">
        <f t="shared" si="7"/>
        <v>67</v>
      </c>
      <c r="B69" s="9">
        <f t="shared" si="10"/>
        <v>0.43504367966856139</v>
      </c>
      <c r="C69" s="8">
        <f t="shared" si="11"/>
        <v>45.196505626515084</v>
      </c>
      <c r="D69" s="10">
        <f t="shared" si="12"/>
        <v>22100</v>
      </c>
      <c r="E69" s="10">
        <f t="shared" si="13"/>
        <v>1480700</v>
      </c>
      <c r="F69" s="4">
        <f>ROUNDUP(ESTUDIO!$D$19/C69,-2)</f>
        <v>66400</v>
      </c>
      <c r="G69" s="3">
        <f>(IF(ESTUDIO!$C$33=A69,F69,0))</f>
        <v>0</v>
      </c>
      <c r="H69" s="11">
        <f t="shared" si="14"/>
        <v>0</v>
      </c>
      <c r="J69" s="66">
        <f t="shared" si="15"/>
        <v>0</v>
      </c>
      <c r="K69" s="7">
        <f t="shared" si="9"/>
        <v>0</v>
      </c>
    </row>
    <row r="70" spans="1:11">
      <c r="A70" s="7">
        <f t="shared" ref="A70:A102" si="16">A69+1</f>
        <v>68</v>
      </c>
      <c r="B70" s="9">
        <f t="shared" si="10"/>
        <v>0.42967277004302357</v>
      </c>
      <c r="C70" s="8">
        <f t="shared" si="11"/>
        <v>45.62617839655811</v>
      </c>
      <c r="D70" s="10">
        <f t="shared" si="12"/>
        <v>21900</v>
      </c>
      <c r="E70" s="10">
        <f t="shared" si="13"/>
        <v>1489200</v>
      </c>
      <c r="F70" s="4">
        <f>ROUNDUP(ESTUDIO!$D$19/C70,-2)</f>
        <v>65800</v>
      </c>
      <c r="G70" s="3">
        <f>(IF(ESTUDIO!$C$33=A70,F70,0))</f>
        <v>0</v>
      </c>
      <c r="H70" s="11">
        <f t="shared" si="14"/>
        <v>0</v>
      </c>
      <c r="J70" s="66">
        <f t="shared" si="15"/>
        <v>0</v>
      </c>
      <c r="K70" s="7">
        <f t="shared" si="9"/>
        <v>0</v>
      </c>
    </row>
    <row r="71" spans="1:11">
      <c r="A71" s="7">
        <f t="shared" si="16"/>
        <v>69</v>
      </c>
      <c r="B71" s="9">
        <f t="shared" si="10"/>
        <v>0.424368167943727</v>
      </c>
      <c r="C71" s="8">
        <f t="shared" si="11"/>
        <v>46.050546564501836</v>
      </c>
      <c r="D71" s="10">
        <f t="shared" si="12"/>
        <v>21700</v>
      </c>
      <c r="E71" s="10">
        <f t="shared" si="13"/>
        <v>1497300</v>
      </c>
      <c r="F71" s="4">
        <f>ROUNDUP(ESTUDIO!$D$19/C71,-2)</f>
        <v>65200</v>
      </c>
      <c r="G71" s="3">
        <f>(IF(ESTUDIO!$C$33=A71,F71,0))</f>
        <v>0</v>
      </c>
      <c r="H71" s="11">
        <f t="shared" si="14"/>
        <v>0</v>
      </c>
      <c r="J71" s="66">
        <f t="shared" si="15"/>
        <v>0</v>
      </c>
      <c r="K71" s="7">
        <f t="shared" si="9"/>
        <v>0</v>
      </c>
    </row>
    <row r="72" spans="1:11">
      <c r="A72" s="7">
        <f t="shared" si="16"/>
        <v>70</v>
      </c>
      <c r="B72" s="9">
        <f t="shared" si="10"/>
        <v>0.41912905475923651</v>
      </c>
      <c r="C72" s="8">
        <f t="shared" si="11"/>
        <v>46.469675619261075</v>
      </c>
      <c r="D72" s="10">
        <f t="shared" si="12"/>
        <v>21500</v>
      </c>
      <c r="E72" s="10">
        <f t="shared" si="13"/>
        <v>1505000</v>
      </c>
      <c r="F72" s="4">
        <f>ROUNDUP(ESTUDIO!$D$19/C72,-2)</f>
        <v>64600</v>
      </c>
      <c r="G72" s="3">
        <f>(IF(ESTUDIO!$C$33=A72,F72,0))</f>
        <v>0</v>
      </c>
      <c r="H72" s="11">
        <f t="shared" si="14"/>
        <v>0</v>
      </c>
      <c r="J72" s="66">
        <f t="shared" si="15"/>
        <v>0</v>
      </c>
      <c r="K72" s="7">
        <f t="shared" si="9"/>
        <v>0</v>
      </c>
    </row>
    <row r="73" spans="1:11">
      <c r="A73" s="7">
        <f t="shared" si="16"/>
        <v>71</v>
      </c>
      <c r="B73" s="9">
        <f t="shared" si="10"/>
        <v>0.41395462198443123</v>
      </c>
      <c r="C73" s="8">
        <f t="shared" si="11"/>
        <v>46.883630241245498</v>
      </c>
      <c r="D73" s="10">
        <f t="shared" si="12"/>
        <v>21300</v>
      </c>
      <c r="E73" s="10">
        <f t="shared" si="13"/>
        <v>1512300</v>
      </c>
      <c r="F73" s="4">
        <f>ROUNDUP(ESTUDIO!$D$19/C73,-2)</f>
        <v>64000</v>
      </c>
      <c r="G73" s="3">
        <f>(IF(ESTUDIO!$C$33=A73,F73,0))</f>
        <v>0</v>
      </c>
      <c r="H73" s="11">
        <f t="shared" si="14"/>
        <v>0</v>
      </c>
      <c r="J73" s="66">
        <f t="shared" si="15"/>
        <v>0</v>
      </c>
      <c r="K73" s="7">
        <f t="shared" si="9"/>
        <v>0</v>
      </c>
    </row>
    <row r="74" spans="1:11">
      <c r="A74" s="7">
        <f t="shared" si="16"/>
        <v>72</v>
      </c>
      <c r="B74" s="9">
        <f t="shared" si="10"/>
        <v>0.40884407109573445</v>
      </c>
      <c r="C74" s="8">
        <f t="shared" si="11"/>
        <v>47.292474312341248</v>
      </c>
      <c r="D74" s="10">
        <f t="shared" si="12"/>
        <v>21100</v>
      </c>
      <c r="E74" s="10">
        <f t="shared" si="13"/>
        <v>1519200</v>
      </c>
      <c r="F74" s="4">
        <f>ROUNDUP(ESTUDIO!$D$19/C74,-2)</f>
        <v>63500</v>
      </c>
      <c r="G74" s="3">
        <f>(IF(ESTUDIO!$C$33=A74,F74,0))</f>
        <v>63500</v>
      </c>
      <c r="H74" s="11">
        <f t="shared" si="14"/>
        <v>72</v>
      </c>
      <c r="J74" s="66" t="e">
        <f t="shared" ca="1" si="15"/>
        <v>#NAME?</v>
      </c>
      <c r="K74" s="7" t="e">
        <f t="shared" ca="1" si="9"/>
        <v>#NAME?</v>
      </c>
    </row>
    <row r="75" spans="1:11">
      <c r="A75" s="7">
        <f t="shared" si="16"/>
        <v>73</v>
      </c>
      <c r="B75" s="9">
        <f t="shared" si="10"/>
        <v>0.40379661342788592</v>
      </c>
      <c r="C75" s="8">
        <f t="shared" si="11"/>
        <v>47.696270925769127</v>
      </c>
      <c r="D75" s="10">
        <f t="shared" si="12"/>
        <v>21000</v>
      </c>
      <c r="E75" s="10">
        <f t="shared" si="13"/>
        <v>1533000</v>
      </c>
      <c r="F75" s="4">
        <f>ROUNDUP(ESTUDIO!$D$19/C75,-2)</f>
        <v>62900</v>
      </c>
      <c r="G75" s="3">
        <f>(IF(ESTUDIO!$C$33=A75,F75,0))</f>
        <v>0</v>
      </c>
      <c r="H75" s="11">
        <f t="shared" si="14"/>
        <v>0</v>
      </c>
      <c r="J75" s="66">
        <f t="shared" si="15"/>
        <v>0</v>
      </c>
      <c r="K75" s="7">
        <f t="shared" si="9"/>
        <v>0</v>
      </c>
    </row>
    <row r="76" spans="1:11">
      <c r="A76" s="7">
        <f t="shared" si="16"/>
        <v>74</v>
      </c>
      <c r="B76" s="9">
        <f t="shared" si="10"/>
        <v>0.39881147005223294</v>
      </c>
      <c r="C76" s="8">
        <f t="shared" si="11"/>
        <v>48.095082395821365</v>
      </c>
      <c r="D76" s="10">
        <f t="shared" si="12"/>
        <v>20800</v>
      </c>
      <c r="E76" s="10">
        <f t="shared" si="13"/>
        <v>1539200</v>
      </c>
      <c r="F76" s="4">
        <f>ROUNDUP(ESTUDIO!$D$19/C76,-2)</f>
        <v>62400</v>
      </c>
      <c r="G76" s="3">
        <f>(IF(ESTUDIO!$C$33=A76,F76,0))</f>
        <v>0</v>
      </c>
      <c r="H76" s="11">
        <f t="shared" si="14"/>
        <v>0</v>
      </c>
      <c r="J76" s="66">
        <f t="shared" si="15"/>
        <v>0</v>
      </c>
      <c r="K76" s="7">
        <f t="shared" si="9"/>
        <v>0</v>
      </c>
    </row>
    <row r="77" spans="1:11">
      <c r="A77" s="7">
        <f t="shared" si="16"/>
        <v>75</v>
      </c>
      <c r="B77" s="9">
        <f t="shared" si="10"/>
        <v>0.3938878716565265</v>
      </c>
      <c r="C77" s="8">
        <f t="shared" si="11"/>
        <v>48.488970267477875</v>
      </c>
      <c r="D77" s="10">
        <f t="shared" si="12"/>
        <v>20600</v>
      </c>
      <c r="E77" s="10">
        <f t="shared" si="13"/>
        <v>1545000</v>
      </c>
      <c r="F77" s="4">
        <f>ROUNDUP(ESTUDIO!$D$19/C77,-2)</f>
        <v>61900</v>
      </c>
      <c r="G77" s="3">
        <f>(IF(ESTUDIO!$C$33=A77,F77,0))</f>
        <v>0</v>
      </c>
      <c r="H77" s="11">
        <f t="shared" si="14"/>
        <v>0</v>
      </c>
      <c r="J77" s="66">
        <f t="shared" si="15"/>
        <v>0</v>
      </c>
      <c r="K77" s="7">
        <f t="shared" si="9"/>
        <v>0</v>
      </c>
    </row>
    <row r="78" spans="1:11">
      <c r="A78" s="7">
        <f t="shared" si="16"/>
        <v>76</v>
      </c>
      <c r="B78" s="9">
        <f t="shared" si="10"/>
        <v>0.38902505842619889</v>
      </c>
      <c r="C78" s="8">
        <f t="shared" si="11"/>
        <v>48.877995325904081</v>
      </c>
      <c r="D78" s="10">
        <f t="shared" si="12"/>
        <v>20500</v>
      </c>
      <c r="E78" s="10">
        <f t="shared" si="13"/>
        <v>1558000</v>
      </c>
      <c r="F78" s="4">
        <f>ROUNDUP(ESTUDIO!$D$19/C78,-2)</f>
        <v>61400</v>
      </c>
      <c r="G78" s="3">
        <f>(IF(ESTUDIO!$C$33=A78,F78,0))</f>
        <v>0</v>
      </c>
      <c r="H78" s="11">
        <f t="shared" si="14"/>
        <v>0</v>
      </c>
      <c r="J78" s="66">
        <f t="shared" si="15"/>
        <v>0</v>
      </c>
      <c r="K78" s="7">
        <f t="shared" si="9"/>
        <v>0</v>
      </c>
    </row>
    <row r="79" spans="1:11">
      <c r="A79" s="7">
        <f t="shared" si="16"/>
        <v>77</v>
      </c>
      <c r="B79" s="9">
        <f t="shared" si="10"/>
        <v>0.38422227992711011</v>
      </c>
      <c r="C79" s="8">
        <f t="shared" si="11"/>
        <v>49.262217605831189</v>
      </c>
      <c r="D79" s="10">
        <f t="shared" si="12"/>
        <v>20300</v>
      </c>
      <c r="E79" s="10">
        <f t="shared" si="13"/>
        <v>1563100</v>
      </c>
      <c r="F79" s="4">
        <f>ROUNDUP(ESTUDIO!$D$19/C79,-2)</f>
        <v>60900</v>
      </c>
      <c r="G79" s="3">
        <f>(IF(ESTUDIO!$C$33=A79,F79,0))</f>
        <v>0</v>
      </c>
      <c r="H79" s="11">
        <f t="shared" si="14"/>
        <v>0</v>
      </c>
      <c r="J79" s="66">
        <f t="shared" si="15"/>
        <v>0</v>
      </c>
      <c r="K79" s="7">
        <f t="shared" si="9"/>
        <v>0</v>
      </c>
    </row>
    <row r="80" spans="1:11">
      <c r="A80" s="7">
        <f t="shared" si="16"/>
        <v>78</v>
      </c>
      <c r="B80" s="9">
        <f t="shared" si="10"/>
        <v>0.3794787949897383</v>
      </c>
      <c r="C80" s="8">
        <f t="shared" si="11"/>
        <v>49.64169640082094</v>
      </c>
      <c r="D80" s="10">
        <f t="shared" si="12"/>
        <v>20100</v>
      </c>
      <c r="E80" s="10">
        <f t="shared" si="13"/>
        <v>1567800</v>
      </c>
      <c r="F80" s="4">
        <f>ROUNDUP(ESTUDIO!$D$19/C80,-2)</f>
        <v>60500</v>
      </c>
      <c r="G80" s="3">
        <f>(IF(ESTUDIO!$C$33=A80,F80,0))</f>
        <v>0</v>
      </c>
      <c r="H80" s="11">
        <f t="shared" si="14"/>
        <v>0</v>
      </c>
      <c r="J80" s="66">
        <f t="shared" si="15"/>
        <v>0</v>
      </c>
      <c r="K80" s="7">
        <f t="shared" si="9"/>
        <v>0</v>
      </c>
    </row>
    <row r="81" spans="1:11">
      <c r="A81" s="7">
        <f t="shared" si="16"/>
        <v>79</v>
      </c>
      <c r="B81" s="9">
        <f t="shared" si="10"/>
        <v>0.37479387159480337</v>
      </c>
      <c r="C81" s="8">
        <f t="shared" si="11"/>
        <v>50.01649027241573</v>
      </c>
      <c r="D81" s="10">
        <f t="shared" si="12"/>
        <v>20000</v>
      </c>
      <c r="E81" s="10">
        <f t="shared" si="13"/>
        <v>1580000</v>
      </c>
      <c r="F81" s="4">
        <f>ROUNDUP(ESTUDIO!$D$19/C81,-2)</f>
        <v>60000</v>
      </c>
      <c r="G81" s="3">
        <f>(IF(ESTUDIO!$C$33=A81,F81,0))</f>
        <v>0</v>
      </c>
      <c r="H81" s="11">
        <f t="shared" si="14"/>
        <v>0</v>
      </c>
      <c r="J81" s="66">
        <f t="shared" si="15"/>
        <v>0</v>
      </c>
      <c r="K81" s="7">
        <f t="shared" si="9"/>
        <v>0</v>
      </c>
    </row>
    <row r="82" spans="1:11">
      <c r="A82" s="7">
        <f t="shared" si="16"/>
        <v>80</v>
      </c>
      <c r="B82" s="9">
        <f t="shared" si="10"/>
        <v>0.37016678676029952</v>
      </c>
      <c r="C82" s="8">
        <f t="shared" si="11"/>
        <v>50.386657059176031</v>
      </c>
      <c r="D82" s="10">
        <f t="shared" si="12"/>
        <v>19800</v>
      </c>
      <c r="E82" s="10">
        <f t="shared" si="13"/>
        <v>1584000</v>
      </c>
      <c r="F82" s="4">
        <f>ROUNDUP(ESTUDIO!$D$19/C82,-2)</f>
        <v>59600</v>
      </c>
      <c r="G82" s="3">
        <f>(IF(ESTUDIO!$C$33=A82,F82,0))</f>
        <v>0</v>
      </c>
      <c r="H82" s="11">
        <f t="shared" si="14"/>
        <v>0</v>
      </c>
      <c r="J82" s="66">
        <f t="shared" si="15"/>
        <v>0</v>
      </c>
      <c r="K82" s="7">
        <f t="shared" si="9"/>
        <v>0</v>
      </c>
    </row>
    <row r="83" spans="1:11">
      <c r="A83" s="7">
        <f t="shared" si="16"/>
        <v>81</v>
      </c>
      <c r="B83" s="9">
        <f t="shared" si="10"/>
        <v>0.36559682642992547</v>
      </c>
      <c r="C83" s="8">
        <f t="shared" si="11"/>
        <v>50.752253885605967</v>
      </c>
      <c r="D83" s="10">
        <f t="shared" si="12"/>
        <v>19700</v>
      </c>
      <c r="E83" s="10">
        <f t="shared" si="13"/>
        <v>1595700</v>
      </c>
      <c r="F83" s="4">
        <f>ROUNDUP(ESTUDIO!$D$19/C83,-2)</f>
        <v>59200</v>
      </c>
      <c r="G83" s="3">
        <f>(IF(ESTUDIO!$C$33=A83,F83,0))</f>
        <v>0</v>
      </c>
      <c r="H83" s="11">
        <f t="shared" si="14"/>
        <v>0</v>
      </c>
      <c r="J83" s="66">
        <f t="shared" si="15"/>
        <v>0</v>
      </c>
      <c r="K83" s="7">
        <f t="shared" si="9"/>
        <v>0</v>
      </c>
    </row>
    <row r="84" spans="1:11">
      <c r="A84" s="7">
        <f t="shared" si="16"/>
        <v>82</v>
      </c>
      <c r="B84" s="9">
        <f t="shared" si="10"/>
        <v>0.36108328536288936</v>
      </c>
      <c r="C84" s="8">
        <f t="shared" si="11"/>
        <v>51.113337170968848</v>
      </c>
      <c r="D84" s="10">
        <f t="shared" si="12"/>
        <v>19600</v>
      </c>
      <c r="E84" s="10">
        <f t="shared" si="13"/>
        <v>1607200</v>
      </c>
      <c r="F84" s="4">
        <f>ROUNDUP(ESTUDIO!$D$19/C84,-2)</f>
        <v>58700</v>
      </c>
      <c r="G84" s="3">
        <f>(IF(ESTUDIO!$C$33=A84,F84,0))</f>
        <v>0</v>
      </c>
      <c r="H84" s="11">
        <f t="shared" si="14"/>
        <v>0</v>
      </c>
      <c r="J84" s="66">
        <f t="shared" si="15"/>
        <v>0</v>
      </c>
      <c r="K84" s="7">
        <f t="shared" si="9"/>
        <v>0</v>
      </c>
    </row>
    <row r="85" spans="1:11">
      <c r="A85" s="7">
        <f t="shared" si="16"/>
        <v>83</v>
      </c>
      <c r="B85" s="9">
        <f t="shared" si="10"/>
        <v>0.35662546702507592</v>
      </c>
      <c r="C85" s="8">
        <f t="shared" si="11"/>
        <v>51.469962637993923</v>
      </c>
      <c r="D85" s="10">
        <f t="shared" si="12"/>
        <v>19400</v>
      </c>
      <c r="E85" s="10">
        <f t="shared" si="13"/>
        <v>1610200</v>
      </c>
      <c r="F85" s="4">
        <f>ROUNDUP(ESTUDIO!$D$19/C85,-2)</f>
        <v>58300</v>
      </c>
      <c r="G85" s="3">
        <f>(IF(ESTUDIO!$C$33=A85,F85,0))</f>
        <v>0</v>
      </c>
      <c r="H85" s="11">
        <f t="shared" si="14"/>
        <v>0</v>
      </c>
      <c r="J85" s="66">
        <f t="shared" si="15"/>
        <v>0</v>
      </c>
      <c r="K85" s="7">
        <f t="shared" si="9"/>
        <v>0</v>
      </c>
    </row>
    <row r="86" spans="1:11">
      <c r="A86" s="7">
        <f t="shared" si="16"/>
        <v>84</v>
      </c>
      <c r="B86" s="9">
        <f t="shared" si="10"/>
        <v>0.3522226834815565</v>
      </c>
      <c r="C86" s="8">
        <f t="shared" si="11"/>
        <v>51.82218532147548</v>
      </c>
      <c r="D86" s="10">
        <f t="shared" si="12"/>
        <v>19300</v>
      </c>
      <c r="E86" s="10">
        <f t="shared" si="13"/>
        <v>1621200</v>
      </c>
      <c r="F86" s="4">
        <f>ROUNDUP(ESTUDIO!$D$19/C86,-2)</f>
        <v>57900</v>
      </c>
      <c r="G86" s="3">
        <f>(IF(ESTUDIO!$C$33=A86,F86,0))</f>
        <v>0</v>
      </c>
      <c r="H86" s="11">
        <f t="shared" si="14"/>
        <v>0</v>
      </c>
      <c r="J86" s="66">
        <f t="shared" si="15"/>
        <v>0</v>
      </c>
      <c r="K86" s="7">
        <f t="shared" si="9"/>
        <v>0</v>
      </c>
    </row>
    <row r="87" spans="1:11">
      <c r="A87" s="7">
        <f t="shared" si="16"/>
        <v>85</v>
      </c>
      <c r="B87" s="9">
        <f t="shared" si="10"/>
        <v>0.3478742552904262</v>
      </c>
      <c r="C87" s="8">
        <f t="shared" si="11"/>
        <v>52.170059576765908</v>
      </c>
      <c r="D87" s="10">
        <f t="shared" si="12"/>
        <v>19200</v>
      </c>
      <c r="E87" s="10">
        <f t="shared" si="13"/>
        <v>1632000</v>
      </c>
      <c r="F87" s="4">
        <f>ROUNDUP(ESTUDIO!$D$19/C87,-2)</f>
        <v>57600</v>
      </c>
      <c r="G87" s="3">
        <f>(IF(ESTUDIO!$C$33=A87,F87,0))</f>
        <v>0</v>
      </c>
      <c r="H87" s="11">
        <f t="shared" si="14"/>
        <v>0</v>
      </c>
      <c r="J87" s="66">
        <f t="shared" si="15"/>
        <v>0</v>
      </c>
      <c r="K87" s="7">
        <f t="shared" si="9"/>
        <v>0</v>
      </c>
    </row>
    <row r="88" spans="1:11">
      <c r="A88" s="7">
        <f t="shared" si="16"/>
        <v>86</v>
      </c>
      <c r="B88" s="9">
        <f t="shared" si="10"/>
        <v>0.34357951139795179</v>
      </c>
      <c r="C88" s="8">
        <f t="shared" si="11"/>
        <v>52.513639088163849</v>
      </c>
      <c r="D88" s="10">
        <f t="shared" si="12"/>
        <v>19000</v>
      </c>
      <c r="E88" s="10">
        <f t="shared" si="13"/>
        <v>1634000</v>
      </c>
      <c r="F88" s="4">
        <f>ROUNDUP(ESTUDIO!$D$19/C88,-2)</f>
        <v>57200</v>
      </c>
      <c r="G88" s="3">
        <f>(IF(ESTUDIO!$C$33=A88,F88,0))</f>
        <v>0</v>
      </c>
      <c r="H88" s="11">
        <f t="shared" si="14"/>
        <v>0</v>
      </c>
      <c r="J88" s="66">
        <f t="shared" si="15"/>
        <v>0</v>
      </c>
      <c r="K88" s="7">
        <f t="shared" si="9"/>
        <v>0</v>
      </c>
    </row>
    <row r="89" spans="1:11">
      <c r="A89" s="7">
        <f t="shared" si="16"/>
        <v>87</v>
      </c>
      <c r="B89" s="9">
        <f t="shared" si="10"/>
        <v>0.33933778903501416</v>
      </c>
      <c r="C89" s="8">
        <f t="shared" si="11"/>
        <v>52.852976877198863</v>
      </c>
      <c r="D89" s="10">
        <f t="shared" si="12"/>
        <v>18900</v>
      </c>
      <c r="E89" s="10">
        <f t="shared" si="13"/>
        <v>1644300</v>
      </c>
      <c r="F89" s="4">
        <f>ROUNDUP(ESTUDIO!$D$19/C89,-2)</f>
        <v>56800</v>
      </c>
      <c r="G89" s="3">
        <f>(IF(ESTUDIO!$C$33=A89,F89,0))</f>
        <v>0</v>
      </c>
      <c r="H89" s="11">
        <f t="shared" si="14"/>
        <v>0</v>
      </c>
      <c r="J89" s="66">
        <f t="shared" si="15"/>
        <v>0</v>
      </c>
      <c r="K89" s="7">
        <f t="shared" si="9"/>
        <v>0</v>
      </c>
    </row>
    <row r="90" spans="1:11">
      <c r="A90" s="7">
        <f t="shared" si="16"/>
        <v>88</v>
      </c>
      <c r="B90" s="9">
        <f t="shared" si="10"/>
        <v>0.33514843361482871</v>
      </c>
      <c r="C90" s="8">
        <f t="shared" si="11"/>
        <v>53.188125310813703</v>
      </c>
      <c r="D90" s="10">
        <f t="shared" si="12"/>
        <v>18800</v>
      </c>
      <c r="E90" s="10">
        <f t="shared" si="13"/>
        <v>1654400</v>
      </c>
      <c r="F90" s="4">
        <f>ROUNDUP(ESTUDIO!$D$19/C90,-2)</f>
        <v>56500</v>
      </c>
      <c r="G90" s="3">
        <f>(IF(ESTUDIO!$C$33=A90,F90,0))</f>
        <v>0</v>
      </c>
      <c r="H90" s="11">
        <f t="shared" si="14"/>
        <v>0</v>
      </c>
      <c r="J90" s="66">
        <f t="shared" si="15"/>
        <v>0</v>
      </c>
      <c r="K90" s="7">
        <f t="shared" si="9"/>
        <v>0</v>
      </c>
    </row>
    <row r="91" spans="1:11">
      <c r="A91" s="7">
        <f t="shared" si="16"/>
        <v>89</v>
      </c>
      <c r="B91" s="9">
        <f t="shared" si="10"/>
        <v>0.33101079863192961</v>
      </c>
      <c r="C91" s="8">
        <f t="shared" si="11"/>
        <v>53.519136109445625</v>
      </c>
      <c r="D91" s="10">
        <f t="shared" si="12"/>
        <v>18700</v>
      </c>
      <c r="E91" s="10">
        <f t="shared" si="13"/>
        <v>1664300</v>
      </c>
      <c r="F91" s="4">
        <f>ROUNDUP(ESTUDIO!$D$19/C91,-2)</f>
        <v>56100</v>
      </c>
      <c r="G91" s="3">
        <f>(IF(ESTUDIO!$C$33=A91,F91,0))</f>
        <v>0</v>
      </c>
      <c r="H91" s="11">
        <f t="shared" si="14"/>
        <v>0</v>
      </c>
      <c r="J91" s="66">
        <f t="shared" si="15"/>
        <v>0</v>
      </c>
      <c r="K91" s="7">
        <f t="shared" si="9"/>
        <v>0</v>
      </c>
    </row>
    <row r="92" spans="1:11">
      <c r="A92" s="7">
        <f t="shared" si="16"/>
        <v>90</v>
      </c>
      <c r="B92" s="9">
        <f t="shared" si="10"/>
        <v>0.32692424556239957</v>
      </c>
      <c r="C92" s="8">
        <f t="shared" si="11"/>
        <v>53.846060355008035</v>
      </c>
      <c r="D92" s="10">
        <f t="shared" si="12"/>
        <v>18600</v>
      </c>
      <c r="E92" s="10">
        <f t="shared" si="13"/>
        <v>1674000</v>
      </c>
      <c r="F92" s="4">
        <f>ROUNDUP(ESTUDIO!$D$19/C92,-2)</f>
        <v>55800</v>
      </c>
      <c r="G92" s="3">
        <f>(IF(ESTUDIO!$C$33=A92,F92,0))</f>
        <v>0</v>
      </c>
      <c r="H92" s="11">
        <f t="shared" si="14"/>
        <v>0</v>
      </c>
      <c r="J92" s="66">
        <f t="shared" si="15"/>
        <v>0</v>
      </c>
      <c r="K92" s="7">
        <f t="shared" si="9"/>
        <v>0</v>
      </c>
    </row>
    <row r="93" spans="1:11">
      <c r="A93" s="7">
        <f t="shared" si="16"/>
        <v>91</v>
      </c>
      <c r="B93" s="9">
        <f t="shared" si="10"/>
        <v>0.32288814376533304</v>
      </c>
      <c r="C93" s="8">
        <f t="shared" si="11"/>
        <v>54.168948498773354</v>
      </c>
      <c r="D93" s="10">
        <f t="shared" si="12"/>
        <v>18500</v>
      </c>
      <c r="E93" s="10">
        <f t="shared" si="13"/>
        <v>1683500</v>
      </c>
      <c r="F93" s="4">
        <f>ROUNDUP(ESTUDIO!$D$19/C93,-2)</f>
        <v>55400</v>
      </c>
      <c r="G93" s="3">
        <f>(IF(ESTUDIO!$C$33=A93,F93,0))</f>
        <v>0</v>
      </c>
      <c r="H93" s="11">
        <f t="shared" si="14"/>
        <v>0</v>
      </c>
      <c r="J93" s="66">
        <f t="shared" si="15"/>
        <v>0</v>
      </c>
      <c r="K93" s="7">
        <f t="shared" si="9"/>
        <v>0</v>
      </c>
    </row>
    <row r="94" spans="1:11">
      <c r="A94" s="7">
        <f t="shared" si="16"/>
        <v>92</v>
      </c>
      <c r="B94" s="9">
        <f t="shared" si="10"/>
        <v>0.31890187038551404</v>
      </c>
      <c r="C94" s="8">
        <f t="shared" si="11"/>
        <v>54.487850369158878</v>
      </c>
      <c r="D94" s="10">
        <f t="shared" si="12"/>
        <v>18400</v>
      </c>
      <c r="E94" s="10">
        <f t="shared" si="13"/>
        <v>1692800</v>
      </c>
      <c r="F94" s="4">
        <f>ROUNDUP(ESTUDIO!$D$19/C94,-2)</f>
        <v>55100</v>
      </c>
      <c r="G94" s="3">
        <f>(IF(ESTUDIO!$C$33=A94,F94,0))</f>
        <v>0</v>
      </c>
      <c r="H94" s="11">
        <f t="shared" si="14"/>
        <v>0</v>
      </c>
      <c r="J94" s="66">
        <f t="shared" si="15"/>
        <v>0</v>
      </c>
      <c r="K94" s="7">
        <f t="shared" si="9"/>
        <v>0</v>
      </c>
    </row>
    <row r="95" spans="1:11">
      <c r="A95" s="7">
        <f t="shared" si="16"/>
        <v>93</v>
      </c>
      <c r="B95" s="9">
        <f t="shared" si="10"/>
        <v>0.31496481025729789</v>
      </c>
      <c r="C95" s="8">
        <f t="shared" si="11"/>
        <v>54.802815179416164</v>
      </c>
      <c r="D95" s="10">
        <f t="shared" si="12"/>
        <v>18200</v>
      </c>
      <c r="E95" s="10">
        <f t="shared" si="13"/>
        <v>1692600</v>
      </c>
      <c r="F95" s="4">
        <f>ROUNDUP(ESTUDIO!$D$19/C95,-2)</f>
        <v>54800</v>
      </c>
      <c r="G95" s="3">
        <f>(IF(ESTUDIO!$C$33=A95,F95,0))</f>
        <v>0</v>
      </c>
      <c r="H95" s="11">
        <f t="shared" si="14"/>
        <v>0</v>
      </c>
      <c r="J95" s="66">
        <f t="shared" si="15"/>
        <v>0</v>
      </c>
      <c r="K95" s="7">
        <f t="shared" si="9"/>
        <v>0</v>
      </c>
    </row>
    <row r="96" spans="1:11">
      <c r="A96" s="7">
        <f t="shared" si="16"/>
        <v>94</v>
      </c>
      <c r="B96" s="9">
        <f t="shared" si="10"/>
        <v>0.31107635580967685</v>
      </c>
      <c r="C96" s="8">
        <f t="shared" si="11"/>
        <v>55.113891535225846</v>
      </c>
      <c r="D96" s="10">
        <f t="shared" si="12"/>
        <v>18100</v>
      </c>
      <c r="E96" s="10">
        <f t="shared" si="13"/>
        <v>1701400</v>
      </c>
      <c r="F96" s="4">
        <f>ROUNDUP(ESTUDIO!$D$19/C96,-2)</f>
        <v>54500</v>
      </c>
      <c r="G96" s="3">
        <f>(IF(ESTUDIO!$C$33=A96,F96,0))</f>
        <v>0</v>
      </c>
      <c r="H96" s="11">
        <f t="shared" si="14"/>
        <v>0</v>
      </c>
      <c r="J96" s="66">
        <f t="shared" si="15"/>
        <v>0</v>
      </c>
      <c r="K96" s="7">
        <f t="shared" si="9"/>
        <v>0</v>
      </c>
    </row>
    <row r="97" spans="1:11">
      <c r="A97" s="7">
        <f t="shared" si="16"/>
        <v>95</v>
      </c>
      <c r="B97" s="9">
        <f t="shared" si="10"/>
        <v>0.3072359069725204</v>
      </c>
      <c r="C97" s="8">
        <f t="shared" si="11"/>
        <v>55.421127442198369</v>
      </c>
      <c r="D97" s="10">
        <f t="shared" si="12"/>
        <v>18000</v>
      </c>
      <c r="E97" s="10">
        <f t="shared" si="13"/>
        <v>1710000</v>
      </c>
      <c r="F97" s="4">
        <f>ROUNDUP(ESTUDIO!$D$19/C97,-2)</f>
        <v>54200</v>
      </c>
      <c r="G97" s="3">
        <f>(IF(ESTUDIO!$C$33=A97,F97,0))</f>
        <v>0</v>
      </c>
      <c r="H97" s="11">
        <f t="shared" si="14"/>
        <v>0</v>
      </c>
      <c r="J97" s="66">
        <f t="shared" si="15"/>
        <v>0</v>
      </c>
      <c r="K97" s="7">
        <f t="shared" si="9"/>
        <v>0</v>
      </c>
    </row>
    <row r="98" spans="1:11">
      <c r="A98" s="7">
        <f t="shared" si="16"/>
        <v>96</v>
      </c>
      <c r="B98" s="9">
        <f t="shared" si="10"/>
        <v>0.30344287108397078</v>
      </c>
      <c r="C98" s="8">
        <f t="shared" si="11"/>
        <v>55.724570313282342</v>
      </c>
      <c r="D98" s="10">
        <f t="shared" si="12"/>
        <v>17900</v>
      </c>
      <c r="E98" s="10">
        <f t="shared" si="13"/>
        <v>1718400</v>
      </c>
      <c r="F98" s="4">
        <f>ROUNDUP(ESTUDIO!$D$19/C98,-2)</f>
        <v>53900</v>
      </c>
      <c r="G98" s="3">
        <f>(IF(ESTUDIO!$C$33=A98,F98,0))</f>
        <v>0</v>
      </c>
      <c r="H98" s="11">
        <f t="shared" si="14"/>
        <v>0</v>
      </c>
      <c r="J98" s="66">
        <f t="shared" si="15"/>
        <v>0</v>
      </c>
      <c r="K98" s="7">
        <f t="shared" si="9"/>
        <v>0</v>
      </c>
    </row>
    <row r="99" spans="1:11">
      <c r="A99" s="7">
        <f t="shared" si="16"/>
        <v>97</v>
      </c>
      <c r="B99" s="9">
        <f t="shared" si="10"/>
        <v>0.29969666279898344</v>
      </c>
      <c r="C99" s="8">
        <f t="shared" si="11"/>
        <v>56.024266976081321</v>
      </c>
      <c r="D99" s="10">
        <f t="shared" si="12"/>
        <v>17800</v>
      </c>
      <c r="E99" s="10">
        <f t="shared" si="13"/>
        <v>1726600</v>
      </c>
      <c r="F99" s="4">
        <f>ROUNDUP(ESTUDIO!$D$19/C99,-2)</f>
        <v>53600</v>
      </c>
      <c r="G99" s="3">
        <f>(IF(ESTUDIO!$C$33=A99,F99,0))</f>
        <v>0</v>
      </c>
      <c r="H99" s="11">
        <f t="shared" si="14"/>
        <v>0</v>
      </c>
      <c r="J99" s="66">
        <f t="shared" si="15"/>
        <v>0</v>
      </c>
      <c r="K99" s="7">
        <f t="shared" si="9"/>
        <v>0</v>
      </c>
    </row>
    <row r="100" spans="1:11">
      <c r="A100" s="7">
        <f t="shared" si="16"/>
        <v>98</v>
      </c>
      <c r="B100" s="9">
        <f t="shared" si="10"/>
        <v>0.29599670399899597</v>
      </c>
      <c r="C100" s="8">
        <f t="shared" si="11"/>
        <v>56.320263680080323</v>
      </c>
      <c r="D100" s="10">
        <f t="shared" si="12"/>
        <v>17800</v>
      </c>
      <c r="E100" s="10">
        <f t="shared" si="13"/>
        <v>1744400</v>
      </c>
      <c r="F100" s="4">
        <f>ROUNDUP(ESTUDIO!$D$19/C100,-2)</f>
        <v>53300</v>
      </c>
      <c r="G100" s="3">
        <f>(IF(ESTUDIO!$C$33=A100,F100,0))</f>
        <v>0</v>
      </c>
      <c r="H100" s="11">
        <f t="shared" si="14"/>
        <v>0</v>
      </c>
      <c r="J100" s="66">
        <f t="shared" si="15"/>
        <v>0</v>
      </c>
      <c r="K100" s="7">
        <f t="shared" si="9"/>
        <v>0</v>
      </c>
    </row>
    <row r="101" spans="1:11">
      <c r="A101" s="7">
        <f t="shared" si="16"/>
        <v>99</v>
      </c>
      <c r="B101" s="9">
        <f t="shared" si="10"/>
        <v>0.29234242370271213</v>
      </c>
      <c r="C101" s="8">
        <f t="shared" si="11"/>
        <v>56.61260610378303</v>
      </c>
      <c r="D101" s="10">
        <f t="shared" si="12"/>
        <v>17700</v>
      </c>
      <c r="E101" s="10">
        <f t="shared" si="13"/>
        <v>1752300</v>
      </c>
      <c r="F101" s="4">
        <f>ROUNDUP(ESTUDIO!$D$19/C101,-2)</f>
        <v>53000</v>
      </c>
      <c r="G101" s="3">
        <f>(IF(ESTUDIO!$C$33=A101,F101,0))</f>
        <v>0</v>
      </c>
      <c r="H101" s="11">
        <f t="shared" si="14"/>
        <v>0</v>
      </c>
      <c r="J101" s="66">
        <f t="shared" si="15"/>
        <v>0</v>
      </c>
      <c r="K101" s="7">
        <f t="shared" si="9"/>
        <v>0</v>
      </c>
    </row>
    <row r="102" spans="1:11">
      <c r="A102" s="7">
        <f t="shared" si="16"/>
        <v>100</v>
      </c>
      <c r="B102" s="9">
        <f t="shared" si="10"/>
        <v>0.28873325797798727</v>
      </c>
      <c r="C102" s="8">
        <f t="shared" si="11"/>
        <v>56.901339361761011</v>
      </c>
      <c r="D102" s="10">
        <f t="shared" si="12"/>
        <v>17600</v>
      </c>
      <c r="E102" s="10">
        <f t="shared" si="13"/>
        <v>1760000</v>
      </c>
      <c r="F102" s="4">
        <f>ROUNDUP(ESTUDIO!$D$19/C102,-2)</f>
        <v>52800</v>
      </c>
      <c r="G102" s="3">
        <f>(IF(ESTUDIO!$C$33=A102,F102,0))</f>
        <v>0</v>
      </c>
      <c r="H102" s="11">
        <f t="shared" si="14"/>
        <v>0</v>
      </c>
      <c r="J102" s="66">
        <f t="shared" si="15"/>
        <v>0</v>
      </c>
      <c r="K102" s="7">
        <f t="shared" si="9"/>
        <v>0</v>
      </c>
    </row>
    <row r="104" spans="1:11">
      <c r="G104" s="6">
        <f>SUM(G3:G103)</f>
        <v>63500</v>
      </c>
      <c r="H104" s="6">
        <f>SUM(H3:H103)</f>
        <v>72</v>
      </c>
    </row>
    <row r="105" spans="1:11">
      <c r="H105" s="1">
        <f>ROUND(ESTUDIO!C32*H104,-3)</f>
        <v>327600000</v>
      </c>
    </row>
  </sheetData>
  <customSheetViews>
    <customSheetView guid="{131D95B3-501A-4570-9E79-0833DE95D6EE}" state="hidden" topLeftCell="A89">
      <selection activeCell="M96" sqref="M96"/>
      <pageMargins left="0.75" right="0.75" top="1" bottom="1" header="0" footer="0"/>
      <pageSetup paperSize="9" orientation="portrait" horizontalDpi="4294967294" r:id="rId1"/>
      <headerFooter alignWithMargins="0"/>
    </customSheetView>
    <customSheetView guid="{0CE4C416-8F7B-420A-B0AA-542E139A7665}">
      <selection activeCell="B3" sqref="B3"/>
      <pageMargins left="0.75" right="0.75" top="1" bottom="1" header="0" footer="0"/>
      <pageSetup paperSize="9" orientation="portrait" horizontalDpi="4294967294" r:id="rId2"/>
      <headerFooter alignWithMargins="0"/>
    </customSheetView>
    <customSheetView guid="{9C57F4D4-CD23-40CB-B591-5182657A2772}" topLeftCell="A79">
      <selection activeCell="B3" sqref="B3"/>
      <pageMargins left="0.75" right="0.75" top="1" bottom="1" header="0" footer="0"/>
      <pageSetup paperSize="9" orientation="portrait" horizontalDpi="4294967294" r:id="rId3"/>
      <headerFooter alignWithMargins="0"/>
    </customSheetView>
  </customSheetViews>
  <phoneticPr fontId="0" type="noConversion"/>
  <pageMargins left="0.75" right="0.75" top="1" bottom="1" header="0" footer="0"/>
  <pageSetup paperSize="9" orientation="portrait" horizontalDpi="4294967294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41"/>
  <sheetViews>
    <sheetView windowProtection="1" workbookViewId="0">
      <selection activeCell="B39" sqref="B39:B40"/>
    </sheetView>
  </sheetViews>
  <sheetFormatPr baseColWidth="10" defaultRowHeight="12.75"/>
  <cols>
    <col min="1" max="1" width="49.42578125" customWidth="1"/>
    <col min="2" max="2" width="26.28515625" customWidth="1"/>
  </cols>
  <sheetData>
    <row r="1" spans="1:2" ht="15">
      <c r="A1" s="216"/>
      <c r="B1" s="216"/>
    </row>
    <row r="2" spans="1:2" ht="15">
      <c r="A2" s="216"/>
      <c r="B2" s="216"/>
    </row>
    <row r="3" spans="1:2">
      <c r="A3" s="217"/>
      <c r="B3" s="217"/>
    </row>
    <row r="6" spans="1:2">
      <c r="B6" s="48"/>
    </row>
    <row r="7" spans="1:2">
      <c r="B7" s="49"/>
    </row>
    <row r="8" spans="1:2">
      <c r="B8" s="50"/>
    </row>
    <row r="11" spans="1:2" ht="15">
      <c r="A11" s="215"/>
      <c r="B11" s="215"/>
    </row>
    <row r="12" spans="1:2">
      <c r="A12" s="40"/>
      <c r="B12" s="41"/>
    </row>
    <row r="13" spans="1:2">
      <c r="A13" s="42"/>
      <c r="B13" s="43"/>
    </row>
    <row r="14" spans="1:2">
      <c r="A14" s="42"/>
      <c r="B14" s="43"/>
    </row>
    <row r="15" spans="1:2">
      <c r="A15" s="42"/>
      <c r="B15" s="51"/>
    </row>
    <row r="16" spans="1:2">
      <c r="A16" s="42"/>
      <c r="B16" s="51"/>
    </row>
    <row r="17" spans="1:5">
      <c r="A17" s="42"/>
      <c r="B17" s="43"/>
    </row>
    <row r="18" spans="1:5">
      <c r="A18" s="42"/>
      <c r="B18" s="43"/>
    </row>
    <row r="19" spans="1:5">
      <c r="A19" s="42"/>
      <c r="B19" s="43"/>
    </row>
    <row r="20" spans="1:5">
      <c r="A20" s="42"/>
      <c r="B20" s="43"/>
    </row>
    <row r="21" spans="1:5">
      <c r="B21" s="39"/>
    </row>
    <row r="22" spans="1:5">
      <c r="A22" s="44"/>
      <c r="B22" s="43"/>
    </row>
    <row r="23" spans="1:5">
      <c r="A23" s="44"/>
      <c r="B23" s="43"/>
    </row>
    <row r="24" spans="1:5">
      <c r="A24" s="44"/>
      <c r="B24" s="56"/>
    </row>
    <row r="25" spans="1:5">
      <c r="A25" s="44"/>
      <c r="B25" s="43"/>
    </row>
    <row r="26" spans="1:5">
      <c r="B26" s="39"/>
    </row>
    <row r="27" spans="1:5">
      <c r="B27" s="39"/>
    </row>
    <row r="28" spans="1:5" ht="12.75" customHeight="1">
      <c r="A28" s="218"/>
      <c r="B28" s="218"/>
      <c r="C28" s="45"/>
      <c r="D28" s="45"/>
      <c r="E28" s="45"/>
    </row>
    <row r="29" spans="1:5">
      <c r="A29" s="218"/>
      <c r="B29" s="218"/>
      <c r="C29" s="45"/>
      <c r="D29" s="45"/>
      <c r="E29" s="45"/>
    </row>
    <row r="30" spans="1:5" ht="33.75" customHeight="1">
      <c r="A30" s="218"/>
      <c r="B30" s="218"/>
    </row>
    <row r="31" spans="1:5" ht="16.5" customHeight="1">
      <c r="A31" s="53"/>
      <c r="B31" s="52"/>
    </row>
    <row r="32" spans="1:5" ht="16.5" customHeight="1">
      <c r="A32" s="53"/>
      <c r="B32" s="52"/>
    </row>
    <row r="33" spans="1:2">
      <c r="A33" s="46"/>
      <c r="B33" s="46"/>
    </row>
    <row r="34" spans="1:2">
      <c r="A34" s="214"/>
      <c r="B34" s="214"/>
    </row>
    <row r="35" spans="1:2">
      <c r="A35" s="219"/>
      <c r="B35" s="219"/>
    </row>
    <row r="36" spans="1:2">
      <c r="A36" s="213">
        <f>B6</f>
        <v>0</v>
      </c>
      <c r="B36" s="213"/>
    </row>
    <row r="39" spans="1:2">
      <c r="B39" s="47"/>
    </row>
    <row r="40" spans="1:2">
      <c r="B40" s="16"/>
    </row>
    <row r="41" spans="1:2">
      <c r="B41" s="46"/>
    </row>
  </sheetData>
  <customSheetViews>
    <customSheetView guid="{131D95B3-501A-4570-9E79-0833DE95D6EE}" state="hidden">
      <selection activeCell="B39" sqref="B39:B40"/>
      <pageMargins left="0.70866141732283472" right="0.70866141732283472" top="1.1417322834645669" bottom="0.74803149606299213" header="0.31496062992125984" footer="0.31496062992125984"/>
      <printOptions horizontalCentered="1"/>
      <pageSetup paperSize="9" orientation="portrait" r:id="rId1"/>
    </customSheetView>
    <customSheetView guid="{0CE4C416-8F7B-420A-B0AA-542E139A7665}" topLeftCell="A16">
      <selection activeCell="D10" sqref="D10"/>
      <pageMargins left="0.70866141732283472" right="0.70866141732283472" top="1.1417322834645669" bottom="0.74803149606299213" header="0.31496062992125984" footer="0.31496062992125984"/>
      <printOptions horizontalCentered="1"/>
      <pageSetup paperSize="9" orientation="portrait" r:id="rId2"/>
    </customSheetView>
    <customSheetView guid="{9C57F4D4-CD23-40CB-B591-5182657A2772}">
      <selection activeCell="B39" sqref="B39:B40"/>
      <pageMargins left="0.70866141732283472" right="0.70866141732283472" top="1.1417322834645669" bottom="0.74803149606299213" header="0.31496062992125984" footer="0.31496062992125984"/>
      <printOptions horizontalCentered="1"/>
      <pageSetup paperSize="9" orientation="portrait" r:id="rId3"/>
    </customSheetView>
  </customSheetViews>
  <mergeCells count="8">
    <mergeCell ref="A36:B36"/>
    <mergeCell ref="A34:B34"/>
    <mergeCell ref="A11:B11"/>
    <mergeCell ref="A1:B1"/>
    <mergeCell ref="A2:B2"/>
    <mergeCell ref="A3:B3"/>
    <mergeCell ref="A28:B30"/>
    <mergeCell ref="A35:B35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indowProtection="1" tabSelected="1" zoomScaleNormal="100" workbookViewId="0">
      <selection activeCell="D26" sqref="D26"/>
    </sheetView>
  </sheetViews>
  <sheetFormatPr baseColWidth="10" defaultRowHeight="12.75"/>
  <cols>
    <col min="1" max="1" width="5.28515625" customWidth="1"/>
    <col min="2" max="2" width="40" customWidth="1"/>
    <col min="3" max="3" width="25.5703125" customWidth="1"/>
    <col min="4" max="4" width="24.28515625" customWidth="1"/>
  </cols>
  <sheetData>
    <row r="1" spans="2:4" ht="13.5" thickBot="1">
      <c r="B1" s="227" t="s">
        <v>93</v>
      </c>
    </row>
    <row r="2" spans="2:4" ht="21" thickTop="1">
      <c r="B2" s="220" t="s">
        <v>81</v>
      </c>
      <c r="C2" s="221"/>
      <c r="D2" s="222"/>
    </row>
    <row r="3" spans="2:4" ht="22.5">
      <c r="B3" s="138" t="s">
        <v>17</v>
      </c>
      <c r="C3" s="139"/>
      <c r="D3" s="170">
        <v>3000000</v>
      </c>
    </row>
    <row r="4" spans="2:4" ht="22.5">
      <c r="B4" s="140" t="s">
        <v>8</v>
      </c>
      <c r="C4" s="141"/>
      <c r="D4" s="171">
        <v>72</v>
      </c>
    </row>
    <row r="5" spans="2:4" ht="9.75" customHeight="1">
      <c r="B5" s="186"/>
      <c r="C5" s="187"/>
      <c r="D5" s="188"/>
    </row>
    <row r="6" spans="2:4" ht="19.5" customHeight="1">
      <c r="B6" s="143" t="s">
        <v>16</v>
      </c>
      <c r="C6" s="142"/>
      <c r="D6" s="172">
        <v>1.2500000000000001E-2</v>
      </c>
    </row>
    <row r="7" spans="2:4" ht="23.25" thickBot="1">
      <c r="B7" s="144" t="s">
        <v>80</v>
      </c>
      <c r="C7" s="136"/>
      <c r="D7" s="173">
        <f>ESTUDIO!D44</f>
        <v>63500</v>
      </c>
    </row>
    <row r="8" spans="2:4" ht="7.5" customHeight="1" thickTop="1"/>
    <row r="9" spans="2:4" ht="13.5" thickBot="1">
      <c r="B9" s="64" t="s">
        <v>94</v>
      </c>
    </row>
    <row r="10" spans="2:4">
      <c r="B10" s="174" t="s">
        <v>82</v>
      </c>
      <c r="C10" s="146"/>
      <c r="D10" s="175"/>
    </row>
    <row r="11" spans="2:4">
      <c r="B11" s="148" t="s">
        <v>79</v>
      </c>
      <c r="C11" s="46"/>
      <c r="D11" s="147"/>
    </row>
    <row r="12" spans="2:4">
      <c r="B12" s="148" t="s">
        <v>78</v>
      </c>
      <c r="C12" s="46"/>
      <c r="D12" s="147"/>
    </row>
    <row r="13" spans="2:4">
      <c r="B13" s="148" t="s">
        <v>77</v>
      </c>
      <c r="C13" s="46"/>
      <c r="D13" s="147"/>
    </row>
    <row r="14" spans="2:4">
      <c r="B14" s="148" t="s">
        <v>98</v>
      </c>
      <c r="C14" s="46"/>
      <c r="D14" s="147"/>
    </row>
    <row r="15" spans="2:4" ht="13.5" thickBot="1">
      <c r="B15" s="149"/>
      <c r="C15" s="150"/>
      <c r="D15" s="151"/>
    </row>
    <row r="16" spans="2:4">
      <c r="B16" s="162"/>
      <c r="C16" s="46"/>
      <c r="D16" s="46"/>
    </row>
    <row r="17" spans="2:8" ht="13.5" thickBot="1">
      <c r="B17" s="226" t="s">
        <v>99</v>
      </c>
    </row>
    <row r="18" spans="2:8" ht="18.75" customHeight="1">
      <c r="B18" s="223" t="s">
        <v>83</v>
      </c>
      <c r="C18" s="224"/>
      <c r="D18" s="225"/>
      <c r="H18" s="168"/>
    </row>
    <row r="19" spans="2:8" s="153" customFormat="1" ht="23.25">
      <c r="B19" s="156" t="s">
        <v>84</v>
      </c>
      <c r="C19" s="154"/>
      <c r="D19" s="169">
        <v>1300000</v>
      </c>
      <c r="F19" s="176" t="s">
        <v>97</v>
      </c>
    </row>
    <row r="20" spans="2:8" s="153" customFormat="1" ht="18">
      <c r="B20" s="156" t="s">
        <v>85</v>
      </c>
      <c r="C20" s="154"/>
      <c r="D20" s="169">
        <v>47000</v>
      </c>
      <c r="F20" s="177">
        <v>100000</v>
      </c>
    </row>
    <row r="21" spans="2:8" s="153" customFormat="1" ht="18">
      <c r="B21" s="156" t="s">
        <v>92</v>
      </c>
      <c r="C21" s="154"/>
      <c r="D21" s="169">
        <v>47000</v>
      </c>
      <c r="F21" s="177">
        <v>200000</v>
      </c>
    </row>
    <row r="22" spans="2:8" s="153" customFormat="1" ht="18">
      <c r="B22" s="156" t="s">
        <v>86</v>
      </c>
      <c r="C22" s="154"/>
      <c r="D22" s="169">
        <v>0</v>
      </c>
      <c r="F22" s="177">
        <v>300000</v>
      </c>
    </row>
    <row r="23" spans="2:8" s="153" customFormat="1" ht="18">
      <c r="B23" s="157" t="s">
        <v>87</v>
      </c>
      <c r="C23" s="155"/>
      <c r="D23" s="158">
        <f>(D19-D20-D21-D22)/2</f>
        <v>603000</v>
      </c>
      <c r="F23" s="177">
        <v>50000</v>
      </c>
    </row>
    <row r="24" spans="2:8" s="153" customFormat="1" ht="18">
      <c r="B24" s="159" t="s">
        <v>90</v>
      </c>
      <c r="C24" s="152"/>
      <c r="D24" s="169">
        <v>0</v>
      </c>
      <c r="F24" s="177">
        <v>45000</v>
      </c>
    </row>
    <row r="25" spans="2:8" s="153" customFormat="1" ht="18">
      <c r="B25" s="159" t="s">
        <v>91</v>
      </c>
      <c r="C25" s="152"/>
      <c r="D25" s="169">
        <v>0</v>
      </c>
      <c r="F25" s="6">
        <f>SUM(F20:F24)</f>
        <v>695000</v>
      </c>
    </row>
    <row r="26" spans="2:8" s="153" customFormat="1" ht="18">
      <c r="B26" s="159" t="s">
        <v>95</v>
      </c>
      <c r="C26" s="152"/>
      <c r="D26" s="169">
        <v>70000</v>
      </c>
    </row>
    <row r="27" spans="2:8" s="153" customFormat="1" ht="18.75" thickBot="1">
      <c r="B27" s="160" t="s">
        <v>96</v>
      </c>
      <c r="C27" s="161"/>
      <c r="D27" s="163">
        <f>D23-D24-D25-D26</f>
        <v>533000</v>
      </c>
    </row>
    <row r="29" spans="2:8">
      <c r="C29" s="164" t="s">
        <v>88</v>
      </c>
      <c r="D29" s="165">
        <f>D7</f>
        <v>63500</v>
      </c>
    </row>
    <row r="30" spans="2:8">
      <c r="C30" s="164" t="s">
        <v>89</v>
      </c>
      <c r="D30" s="166">
        <f>D27-D29</f>
        <v>469500</v>
      </c>
    </row>
    <row r="31" spans="2:8" ht="18">
      <c r="C31" s="164" t="s">
        <v>10</v>
      </c>
      <c r="D31" s="167" t="str">
        <f>IF(D27&gt;D29,"APLICA","NO APLICA")</f>
        <v>APLICA</v>
      </c>
    </row>
  </sheetData>
  <sheetProtection password="D862" sheet="1" objects="1" scenarios="1"/>
  <customSheetViews>
    <customSheetView guid="{131D95B3-501A-4570-9E79-0833DE95D6EE}" printArea="1">
      <selection activeCell="D4" sqref="D4"/>
      <pageMargins left="0.7" right="0.7" top="0.75" bottom="0.75" header="0.3" footer="0.3"/>
      <pageSetup paperSize="9" orientation="portrait" r:id="rId1"/>
    </customSheetView>
    <customSheetView guid="{0CE4C416-8F7B-420A-B0AA-542E139A7665}" topLeftCell="A4">
      <selection activeCell="C2" sqref="C2"/>
      <pageMargins left="0.7" right="0.7" top="0.75" bottom="0.75" header="0.3" footer="0.3"/>
      <pageSetup paperSize="9" orientation="portrait" r:id="rId2"/>
    </customSheetView>
    <customSheetView guid="{9C57F4D4-CD23-40CB-B591-5182657A2772}">
      <selection activeCell="G16" sqref="G16"/>
      <pageMargins left="0.7" right="0.7" top="0.75" bottom="0.75" header="0.3" footer="0.3"/>
      <pageSetup paperSize="9" orientation="portrait" r:id="rId3"/>
    </customSheetView>
  </customSheetViews>
  <mergeCells count="3">
    <mergeCell ref="B2:D2"/>
    <mergeCell ref="B5:D5"/>
    <mergeCell ref="B18:D18"/>
  </mergeCells>
  <pageMargins left="0.7" right="0.7" top="0.75" bottom="0.75" header="0.3" footer="0.3"/>
  <pageSetup paperSize="9" scale="75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X CAJA</vt:lpstr>
      <vt:lpstr>ESTUDIO</vt:lpstr>
      <vt:lpstr>factor</vt:lpstr>
      <vt:lpstr>anticipos</vt:lpstr>
      <vt:lpstr>SIMULADOR</vt:lpstr>
      <vt:lpstr>anticipos!Área_de_impresión</vt:lpstr>
      <vt:lpstr>ESTUDIO!Área_de_impresión</vt:lpstr>
      <vt:lpstr>SIMULADOR!Área_de_impresión</vt:lpstr>
      <vt:lpstr>'X CAJA'!Área_de_impresión</vt:lpstr>
      <vt:lpstr>ESTUDIO!OLE_LINK1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Fondeuc tesoreria</cp:lastModifiedBy>
  <cp:lastPrinted>2012-08-02T23:02:38Z</cp:lastPrinted>
  <dcterms:created xsi:type="dcterms:W3CDTF">2005-04-15T10:28:27Z</dcterms:created>
  <dcterms:modified xsi:type="dcterms:W3CDTF">2015-05-25T14:34:36Z</dcterms:modified>
</cp:coreProperties>
</file>